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80" windowHeight="7980" tabRatio="918" activeTab="0"/>
  </bookViews>
  <sheets>
    <sheet name="Титул" sheetId="1" r:id="rId1"/>
    <sheet name="1.Сведения" sheetId="2" r:id="rId2"/>
    <sheet name="2.1.Показатели финансовые" sheetId="3" r:id="rId3"/>
    <sheet name="2.2.2017" sheetId="4" r:id="rId4"/>
    <sheet name="2.2.2018" sheetId="5" r:id="rId5"/>
    <sheet name="2.2.2019" sheetId="6" r:id="rId6"/>
    <sheet name="2.2.1" sheetId="7" r:id="rId7"/>
    <sheet name="2.3." sheetId="8" r:id="rId8"/>
    <sheet name="3." sheetId="9" r:id="rId9"/>
    <sheet name="4." sheetId="10" r:id="rId10"/>
    <sheet name="Расчеты п.1" sheetId="11" r:id="rId11"/>
    <sheet name="Расчеты пп.2-6" sheetId="12" r:id="rId12"/>
  </sheets>
  <definedNames>
    <definedName name="_xlnm.Print_Titles" localSheetId="2">'2.1.Показатели финансовые'!$6:$6</definedName>
    <definedName name="_xlnm.Print_Titles" localSheetId="6">'2.2.1'!$7:$7</definedName>
    <definedName name="_xlnm.Print_Titles" localSheetId="3">'2.2.2017'!$7:$7</definedName>
    <definedName name="_xlnm.Print_Titles" localSheetId="4">'2.2.2018'!$7:$7</definedName>
    <definedName name="_xlnm.Print_Titles" localSheetId="5">'2.2.2019'!$7:$7</definedName>
    <definedName name="_xlnm.Print_Area" localSheetId="1">'1.Сведения'!$A$1:$B$13</definedName>
    <definedName name="_xlnm.Print_Area" localSheetId="6">'2.2.1'!$A$1:$L$15</definedName>
    <definedName name="_xlnm.Print_Area" localSheetId="3">'2.2.2017'!$A$1:$J$79</definedName>
    <definedName name="_xlnm.Print_Area" localSheetId="4">'2.2.2018'!$A$1:$J$78</definedName>
    <definedName name="_xlnm.Print_Area" localSheetId="5">'2.2.2019'!$A$1:$J$76</definedName>
    <definedName name="_xlnm.Print_Area" localSheetId="11">'Расчеты пп.2-6'!$A$1:$F$620</definedName>
  </definedNames>
  <calcPr fullCalcOnLoad="1"/>
</workbook>
</file>

<file path=xl/sharedStrings.xml><?xml version="1.0" encoding="utf-8"?>
<sst xmlns="http://schemas.openxmlformats.org/spreadsheetml/2006/main" count="1947" uniqueCount="745">
  <si>
    <t>УТВЕРЖДАЮ</t>
  </si>
  <si>
    <t>подпись</t>
  </si>
  <si>
    <t>(расшифровка подписи)</t>
  </si>
  <si>
    <t>КОДЫ</t>
  </si>
  <si>
    <t>По ОКПО</t>
  </si>
  <si>
    <t>Наименование муниципального  учреждения (подразделения)  ____________________________</t>
  </si>
  <si>
    <t>Наименование бюджета ______________________</t>
  </si>
  <si>
    <t>ИНН</t>
  </si>
  <si>
    <t>КПП</t>
  </si>
  <si>
    <t>По ОКАТО</t>
  </si>
  <si>
    <t xml:space="preserve">Единица измерения: руб. (с точностью до второго десятичного знака) </t>
  </si>
  <si>
    <t>Глава по БК</t>
  </si>
  <si>
    <t>По ОКЕИ</t>
  </si>
  <si>
    <t>Наименование органа, осуществляющего функции и полномочия учредителя</t>
  </si>
  <si>
    <t>Юридический адрес муниципального учреждения (подразделения)</t>
  </si>
  <si>
    <t>Фактический адрес муниципального учреждения (подразделения)</t>
  </si>
  <si>
    <t>(наименование должности лица, утверждающего документ)</t>
  </si>
  <si>
    <t xml:space="preserve">1. Сведения о деятельности муниципального учреждения </t>
  </si>
  <si>
    <r>
      <t>1.1.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Цели деятельности муниципального  учреждения (подразделения): __________________</t>
    </r>
  </si>
  <si>
    <r>
      <t>1.2.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Виды деятельности муниципального учреждения (подразделения): __________________</t>
    </r>
  </si>
  <si>
    <t>Наименование показателя</t>
  </si>
  <si>
    <t>из них:</t>
  </si>
  <si>
    <t xml:space="preserve">       в том числе:</t>
  </si>
  <si>
    <t>Из них:</t>
  </si>
  <si>
    <t>всего</t>
  </si>
  <si>
    <t>в том числе</t>
  </si>
  <si>
    <t>в том числе:</t>
  </si>
  <si>
    <t>Иные доходы</t>
  </si>
  <si>
    <t>х</t>
  </si>
  <si>
    <t>Остаток средств на конец периода</t>
  </si>
  <si>
    <t>Справочно:</t>
  </si>
  <si>
    <t>Объем публичных обязательств, всего</t>
  </si>
  <si>
    <t>1-ый год планового периода</t>
  </si>
  <si>
    <t>2-ой год планового периода</t>
  </si>
  <si>
    <t>комитет по образованию Администрации города Оленегорска с подведомственной территорией Мурманской области</t>
  </si>
  <si>
    <t>Бюджет муниципального образования город Оленегорск с подведомственной территорией Мурманской области</t>
  </si>
  <si>
    <t>Е.О.Косьмина</t>
  </si>
  <si>
    <t xml:space="preserve">(подпись) </t>
  </si>
  <si>
    <t>Доходы от собственности</t>
  </si>
  <si>
    <t>Исполнитель (начальник ПЭО)</t>
  </si>
  <si>
    <t>тел.54789</t>
  </si>
  <si>
    <t xml:space="preserve">  - образовательные услуги (не предусмотренные муниципальным заданием)</t>
  </si>
  <si>
    <t>Доходы от штрафов, пени, иных сумм принудительного изъятия (неустойка)</t>
  </si>
  <si>
    <t xml:space="preserve">Код по реестру участников бюджетного процесса, а также юридических лиц, не являющихся участниками бюджетного процесса)                                 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</si>
  <si>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</si>
  <si>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1.4. Перечень услуг (работ), относящихся  в соответствии с уставом (положением подразделения) к иным видам деятельности учреждения (подразделения), предоставление которых для физических и юридических лиц осуществляется за плату:</t>
  </si>
  <si>
    <t xml:space="preserve">1.1. </t>
  </si>
  <si>
    <t>Стоимость недвижимого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</si>
  <si>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Стоимость недвижимого имущества, приобретенного муниципальным  учреждением (подразделением) за счет выделенных собственником имущества учреждения средств</t>
  </si>
  <si>
    <t xml:space="preserve"> Стоимость недвижимого имущества, закрепленного собственником имущества за муниципальным учреждением на праве оперативного управления</t>
  </si>
  <si>
    <t>Общая балансовая стоимость недвижимого муниципального имущества, всего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</si>
  <si>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</si>
  <si>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</si>
  <si>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</si>
  <si>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 xml:space="preserve">   в том числе:</t>
  </si>
  <si>
    <t>Стоимость особо ценного движимого имущества</t>
  </si>
  <si>
    <t>Стоимость иного движимого имущества, приобретенного учреждением за счет доходов, полученных за счет средств местного бюджета</t>
  </si>
  <si>
    <t>Стоимость движимого имущества, приобретенного учреждением за счет доходов, полученных от платной и иной приносящей доход деятельности</t>
  </si>
  <si>
    <t>Остаточная стоимость особо ценного движимого имущества</t>
  </si>
  <si>
    <t xml:space="preserve">II. </t>
  </si>
  <si>
    <t>Финансовые активы, всего</t>
  </si>
  <si>
    <t>2.1</t>
  </si>
  <si>
    <t>2.2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</si>
  <si>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</si>
  <si>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</si>
  <si>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</si>
  <si>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</si>
  <si>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</si>
  <si>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</si>
  <si>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</si>
  <si>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</si>
  <si>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2.1.1</t>
  </si>
  <si>
    <t>Денежные средства учреждения, всего</t>
  </si>
  <si>
    <t>Денежные средства учреждения на счетах</t>
  </si>
  <si>
    <t xml:space="preserve"> Денежные средства учреждения, размещенные на депозиты в кредитной организации</t>
  </si>
  <si>
    <t xml:space="preserve"> Иные финансовые инструменты</t>
  </si>
  <si>
    <t>2.1.2</t>
  </si>
  <si>
    <t>2.3</t>
  </si>
  <si>
    <t>Дебиторская задолженность по доходам, всего</t>
  </si>
  <si>
    <t xml:space="preserve"> в том числе:</t>
  </si>
  <si>
    <t>Дебиторская задолженность по доходам, полученным за счет средств местного  бюджета</t>
  </si>
  <si>
    <t>2.3.1</t>
  </si>
  <si>
    <t>2.3.2</t>
  </si>
  <si>
    <t>Дебиторская задолженность по доходам, полученным за счет средств от платной и иной приносящей доход деятельности</t>
  </si>
  <si>
    <t>2.4</t>
  </si>
  <si>
    <t>Дебиторская задолженность по расходам, всего</t>
  </si>
  <si>
    <t>2.4.1</t>
  </si>
  <si>
    <t>2.4.2</t>
  </si>
  <si>
    <t>Дебиторская задолженность по выданным авансам за счет доходов, полученных от платной и иной приносящей доход деятельности</t>
  </si>
  <si>
    <t>Дебиторская задолженность по выданным авансам, полученным за счет средств местного бюджета</t>
  </si>
  <si>
    <t>Долговые обязательства</t>
  </si>
  <si>
    <t>3.1</t>
  </si>
  <si>
    <t>Кредиторская задолженность, всего:</t>
  </si>
  <si>
    <t>3.2</t>
  </si>
  <si>
    <t>Кредиторская задолженность по принятым обязательствам за счет средств местного бюджета, всего:</t>
  </si>
  <si>
    <t>3.2.1.</t>
  </si>
  <si>
    <t xml:space="preserve">по оплате труда </t>
  </si>
  <si>
    <t>по начислениям на выплаты по оплате труда</t>
  </si>
  <si>
    <t>по социальным и иным выплатам населению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</si>
  <si>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</si>
  <si>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</si>
  <si>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</si>
  <si>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 xml:space="preserve">3.2.2. </t>
  </si>
  <si>
    <t>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</si>
  <si>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Просроченная кредиторская задолженность, всего</t>
  </si>
  <si>
    <t xml:space="preserve">3.2.3. </t>
  </si>
  <si>
    <t>Сумма, руб.</t>
  </si>
  <si>
    <r>
      <t>Нефинансовые активы, всего</t>
    </r>
    <r>
      <rPr>
        <sz val="12"/>
        <rFont val="Times New Roman"/>
        <family val="1"/>
      </rPr>
      <t>:</t>
    </r>
  </si>
  <si>
    <r>
      <t>2.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Times New Roman"/>
        <family val="1"/>
      </rPr>
      <t>Финансовые параметры деятельности учреждения (подразделения)</t>
    </r>
  </si>
  <si>
    <t>2.1.  Показатели финансового состояния учреждения</t>
  </si>
  <si>
    <t>(последнюю отчетную дату)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</si>
  <si>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</si>
  <si>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</si>
  <si>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</si>
  <si>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</si>
  <si>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</si>
  <si>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</si>
  <si>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 xml:space="preserve">
средства обязательного медицинского страхования
</t>
  </si>
  <si>
    <t>поступления от оказания услуг (выполнения работ) на платной основе и от иной приносящей доход деятельности</t>
  </si>
  <si>
    <t xml:space="preserve">всего </t>
  </si>
  <si>
    <t>из них гранты</t>
  </si>
  <si>
    <t>Поступления от доходов, всего: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</si>
  <si>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</si>
  <si>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</si>
  <si>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</si>
  <si>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</si>
  <si>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</si>
  <si>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</si>
  <si>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</si>
  <si>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оплата труда и начисления 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</si>
  <si>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</si>
  <si>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</si>
  <si>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</si>
  <si>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</si>
  <si>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</si>
  <si>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Поступления финансовых активов, всего:</t>
  </si>
  <si>
    <t>Увеличение остатков средств</t>
  </si>
  <si>
    <t xml:space="preserve">Прочие поступления 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</si>
  <si>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</si>
  <si>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</si>
  <si>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</si>
  <si>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</si>
  <si>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 xml:space="preserve">                           2.2. Показатели по поступлениям и выплатам учреждения*</t>
  </si>
  <si>
    <t>* Заполняется в порядке, установленном  Требованиями к плану финансово-хозяйственной деятельности государственного (муниципального) учреждения, утвержденными приказом  Минфина России от 28.07.2010 № 81н к заполнению Таблицы 2 Требований.</t>
  </si>
  <si>
    <t>2.2.1. Показатели выплат по расходам на закупку товаров, работ, услуг  учреждения (подразделения)*</t>
  </si>
  <si>
    <t>Год начала закупкии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</si>
  <si>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</si>
  <si>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</si>
  <si>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</si>
  <si>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</si>
  <si>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</si>
  <si>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</si>
  <si>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0001</t>
  </si>
  <si>
    <t>* Заполняется в порядке, установленном  Требованиями к плану финансово-хозяйственной деятельности государственного (муниципального) учреждения, утвержденными приказом  Минфина России от 28.07.2010 № 81н к заполнению Таблицы 2.1 Требований.</t>
  </si>
  <si>
    <t>Сумма выплат по расходам на закупку товаров, работ и услуг, руб. (с точностью до двух знаков после запятой - 0,00)</t>
  </si>
  <si>
    <t xml:space="preserve">Доходы от оказания услуг, работ относящихся в соответствии с уставом  к основным видам деятельности учреждения </t>
  </si>
  <si>
    <t>На реализацию материалов от утилизации списанных основных средств</t>
  </si>
  <si>
    <t>2.3. Сведения о средствах, поступающих во временное распоряжение учреждения (подразделения)*</t>
  </si>
  <si>
    <t>(очередной финансовый год)</t>
  </si>
  <si>
    <t>Сумма (руб., с точностью до двух знаков после запятой - 0,00)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</si>
  <si>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</si>
  <si>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</si>
  <si>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</si>
  <si>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</si>
  <si>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</si>
  <si>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</si>
  <si>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</si>
  <si>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2.4. Справочная информация*</t>
  </si>
  <si>
    <t>Сумма, рублей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</si>
  <si>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</si>
  <si>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</si>
  <si>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</si>
  <si>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* Заполняется в порядке, установленном  Требованиями к плану финансово-хозяйственной деятельности государственного (муниципального) учреждения, утвержденными приказом  Минфина России от 28.07.2010 № 81н к заполнению Таблиц 3,4 Требований.</t>
  </si>
  <si>
    <t>3. Сведения и показатели об использовании ресурсов учреждения (подразделения)</t>
  </si>
  <si>
    <t>Единицы измерения</t>
  </si>
  <si>
    <t>отчетный финансовый год</t>
  </si>
  <si>
    <t>текущий финансовый год</t>
  </si>
  <si>
    <t>очередной финансовый год</t>
  </si>
  <si>
    <t>1. Сведения об уровне оплаты труда работников учреждения (подразделения)</t>
  </si>
  <si>
    <t>1.1. Фонд оплаты труда, всего</t>
  </si>
  <si>
    <t>тыс. руб.</t>
  </si>
  <si>
    <t>1.1.1.Фонд оплаты труда руководителей учреждения  (подразделения) и их заместителей</t>
  </si>
  <si>
    <t>1.1.2. Фонд оплаты труда прочих работников учреждения (подразделения)</t>
  </si>
  <si>
    <t>1.2. Фонд оплаты труда,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</si>
  <si>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</si>
  <si>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1.3. Среднесписочная численность работников учреждения (подразделения)</t>
  </si>
  <si>
    <t>чел.</t>
  </si>
  <si>
    <t>1.3.1. Среднесписочная численность руководителей учреждения  (подразделения) и их заместителей</t>
  </si>
  <si>
    <t>1.3.2. Среднесписочная численность прочих работников учреждения (подразделения)</t>
  </si>
  <si>
    <t>руб.</t>
  </si>
  <si>
    <t>в том числе по категориям работников, повышение оплаты труда которых предусмотрено указами Президента РФ:</t>
  </si>
  <si>
    <t>%</t>
  </si>
  <si>
    <t>2. Сведения об использовании имущества учреждения (подразделения)</t>
  </si>
  <si>
    <t>2.1. Общая площадь объектов недвижимого имущества, закрепленная за  учреждением (подразделением)</t>
  </si>
  <si>
    <t>м²</t>
  </si>
  <si>
    <t>ед.</t>
  </si>
  <si>
    <t>3. Показатели финансовой устойчивости учреждения (подразделения)</t>
  </si>
  <si>
    <t>за 2015 г.</t>
  </si>
  <si>
    <t>за 2016 г.</t>
  </si>
  <si>
    <t>на 2017 г.</t>
  </si>
  <si>
    <t>на 2018 г.</t>
  </si>
  <si>
    <t>педагогический персонал</t>
  </si>
  <si>
    <t>3.1. Доля поступлений от приносящей доход деятельности (за исключением поступлений от оказания услуг/(работ, относящихся в соответствии с уставом к основным видам деятельности, предоставление которых осуществляется на платной основе)</t>
  </si>
  <si>
    <t xml:space="preserve">4. Перечень мероприятий по повышению эффективности деятельности учреждения </t>
  </si>
  <si>
    <t>(подразделения)</t>
  </si>
  <si>
    <t>Наименование мероприятия</t>
  </si>
  <si>
    <t>Сроки проведения</t>
  </si>
  <si>
    <t>Ожидаемый результат реализации</t>
  </si>
  <si>
    <t>Затраты,необходимые на прведение мероприятия, тыс.руб.</t>
  </si>
  <si>
    <t>1.Повышение эффективности управления и кадрового потенциала учреждения (подразделения)</t>
  </si>
  <si>
    <t>2.Повышение эффективности управления муниципальной собственностью</t>
  </si>
  <si>
    <t>3.Повышение качества предоставления  муниципальных услуг</t>
  </si>
  <si>
    <t>4. Направления оптимизации расходов учреждения (подразделения)</t>
  </si>
  <si>
    <t>Итого :</t>
  </si>
  <si>
    <t>Руководитель учреждения (подразделения)</t>
  </si>
  <si>
    <t>(уполномоченное лицо)</t>
  </si>
  <si>
    <t>Муниципальное образовательное учреждение дополнительного образования детей "Центр внешкольной работы"</t>
  </si>
  <si>
    <t>Российская Федерация, 184530, Мурманская обл., г.Оленегорск, ул.Бардина, д.52</t>
  </si>
  <si>
    <t>Российская Федерация, 184530, Мурманская обл., г.Оленегорск, ул.Бардина, д.52; ул.Ферсмана, д.15</t>
  </si>
  <si>
    <t>за 2014 г.</t>
  </si>
  <si>
    <t>III.</t>
  </si>
  <si>
    <t xml:space="preserve"> Обязательства, всего</t>
  </si>
  <si>
    <t>111,112,119</t>
  </si>
  <si>
    <t>906 0707 7170120010 612</t>
  </si>
  <si>
    <t>906 0707 7170220010 612</t>
  </si>
  <si>
    <t>906 0707 7170420010 612</t>
  </si>
  <si>
    <t>906 0702 7140120020 612</t>
  </si>
  <si>
    <t>Уплата земельного налога,прочих налогов, сборов</t>
  </si>
  <si>
    <t>Уплата иных платежей</t>
  </si>
  <si>
    <t xml:space="preserve"> образовательные услуги (не предусмотренные муниципальным заданием) </t>
  </si>
  <si>
    <t>реализация дополнительных общеразвивающих программ</t>
  </si>
  <si>
    <t>Начальник ПЭО</t>
  </si>
  <si>
    <t>Образовательная деятельность по дополнительным общеобразовательным программам.</t>
  </si>
  <si>
    <t>Оказание услуг по обучению детей по дополнительным общеобразовательным программам.</t>
  </si>
  <si>
    <t>Ц</t>
  </si>
  <si>
    <t>Пособия, компенсации и иные социальные выплаты гражданам, кроме публичных нормативных обязательств</t>
  </si>
  <si>
    <t>1.4. Среднесписочная численность, отдельных категорий работников бюджетной сферы, повышение оплаты труда которых предусмотрено указами Президента РФ, всего</t>
  </si>
  <si>
    <t>1.5.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</si>
  <si>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 1.6. Средняя заработная плата, сложившаяся/прогнозируемая в отчетном периоде</t>
  </si>
  <si>
    <t>1.7. Отношение средней заработной платы руководителей учреждения (подразделения) и их заместителей к средней заработной плате работников учреждения (подразделения)</t>
  </si>
  <si>
    <t>1.8. Отношение средней заработной платы, сложившейся/прогнозируемой в отчетном периоде к средней заработной плате, необходимой для реализации указов Президента РФ</t>
  </si>
  <si>
    <t>2.2. Коэффициент износа основных средств (отношение величины износа основных средств на конец отчетного периода к  стоимости основных средств учреждения на конец отчетного периода)</t>
  </si>
  <si>
    <t>2.3. Коэффициент обновления основных средств (отношение стоимости основных средств поступивших за отчетный период к общей стоимости основных средств учреждения на конец отчетного периода)</t>
  </si>
  <si>
    <t>2.4.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</si>
  <si>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3.2. Отношение объема просроченной кредиторской задолженности учреждения к объему расходов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</si>
  <si>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</si>
  <si>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</si>
  <si>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</si>
  <si>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</si>
  <si>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</si>
  <si>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</si>
  <si>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</si>
  <si>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</si>
  <si>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</si>
  <si>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коэффициент,полярная надбавка</t>
  </si>
  <si>
    <t>Меры социальной поддержки и иные выплаты из фонда оплаты труда,руб.</t>
  </si>
  <si>
    <t>Фонд оплаты труда в год, руб. (гр. 3 x гр. 4 x 
(1 + гр. 8 / 100) x 
гр. 9 x 12+гр.10)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</si>
  <si>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</si>
  <si>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</si>
  <si>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</si>
  <si>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1</t>
  </si>
  <si>
    <t xml:space="preserve">Директор   </t>
  </si>
  <si>
    <t>2</t>
  </si>
  <si>
    <t xml:space="preserve"> Зам.директора по УВР</t>
  </si>
  <si>
    <t>3</t>
  </si>
  <si>
    <t>4</t>
  </si>
  <si>
    <t>Педагог доп.образов.</t>
  </si>
  <si>
    <t>5</t>
  </si>
  <si>
    <t>6</t>
  </si>
  <si>
    <t>7</t>
  </si>
  <si>
    <t>8</t>
  </si>
  <si>
    <t>9</t>
  </si>
  <si>
    <t>10</t>
  </si>
  <si>
    <t>11</t>
  </si>
  <si>
    <t>12</t>
  </si>
  <si>
    <t>Дворник</t>
  </si>
  <si>
    <t>13</t>
  </si>
  <si>
    <t xml:space="preserve">Сторож </t>
  </si>
  <si>
    <t>14</t>
  </si>
  <si>
    <t>Уборщик  служ.помещ.</t>
  </si>
  <si>
    <t>15</t>
  </si>
  <si>
    <t xml:space="preserve">Рабоч.по комп обслуж.и рем.зд. </t>
  </si>
  <si>
    <t>16</t>
  </si>
  <si>
    <t>17</t>
  </si>
  <si>
    <t>Доплата до МРОТ Мурманской области</t>
  </si>
  <si>
    <t>18</t>
  </si>
  <si>
    <t>Педагогический персонал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</si>
  <si>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</si>
  <si>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</si>
  <si>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</si>
  <si>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</si>
  <si>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</si>
  <si>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</si>
  <si>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</si>
  <si>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</si>
  <si>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</si>
  <si>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</si>
  <si>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</si>
  <si>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</si>
  <si>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</si>
  <si>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</si>
  <si>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</si>
  <si>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</si>
  <si>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</si>
  <si>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</si>
  <si>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</si>
  <si>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</si>
  <si>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</si>
  <si>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</si>
  <si>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</si>
  <si>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</si>
  <si>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</si>
  <si>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</si>
  <si>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</si>
  <si>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</si>
  <si>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</si>
  <si>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</si>
  <si>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</si>
  <si>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</si>
  <si>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</si>
  <si>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</si>
  <si>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</si>
  <si>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</si>
  <si>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</si>
  <si>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</si>
  <si>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</si>
  <si>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</si>
  <si>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</si>
  <si>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</si>
  <si>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</si>
  <si>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</si>
  <si>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</si>
  <si>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</si>
  <si>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</si>
  <si>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</si>
  <si>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</si>
  <si>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</si>
  <si>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</si>
  <si>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</si>
  <si>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</si>
  <si>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</si>
  <si>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</si>
  <si>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</si>
  <si>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</si>
  <si>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</si>
  <si>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</si>
  <si>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</si>
  <si>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</si>
  <si>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</si>
  <si>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</si>
  <si>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</si>
  <si>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</si>
  <si>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</si>
  <si>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</si>
  <si>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Зам.директора по АХЧ</t>
  </si>
  <si>
    <t>Руководитель структ. подразд.</t>
  </si>
  <si>
    <t>Педагог-организатор</t>
  </si>
  <si>
    <t>Социальный педагог</t>
  </si>
  <si>
    <t>Секретарь</t>
  </si>
  <si>
    <t>Завхоз</t>
  </si>
  <si>
    <t>Вед.художник</t>
  </si>
  <si>
    <t>Вед.инж.по ОТ</t>
  </si>
  <si>
    <t>Костюмер</t>
  </si>
  <si>
    <t>на 01.01.2017 г.</t>
  </si>
  <si>
    <t xml:space="preserve">на 2017  год </t>
  </si>
  <si>
    <t>и плановый период  2018  и  2019  годов</t>
  </si>
  <si>
    <t>112</t>
  </si>
  <si>
    <t>субсидия на выполнение государственного (муниципального) задания</t>
  </si>
  <si>
    <t>Суточные при служебных команд.</t>
  </si>
  <si>
    <t>Оплата проезда к месту служебной командировки и обратно к месту постоянной работы</t>
  </si>
  <si>
    <t>Найм жилых помещений при служебных командировках</t>
  </si>
  <si>
    <t>1.3. Расчеты (обоснования) выплат компенсации расходов на оплату стоимости
Проезда и провоза багажа к месту использования отпуска (отдыха) и обратно</t>
  </si>
  <si>
    <t>Численность работников, имеющих право на возмещение расходов</t>
  </si>
  <si>
    <t xml:space="preserve">Средний размер
расходов на медицинский осмотр, руб.  
</t>
  </si>
  <si>
    <t>Сумма, руб. (гр. 3 x гр. 4)</t>
  </si>
  <si>
    <t>компенсация первичного медосмотра</t>
  </si>
  <si>
    <t xml:space="preserve">1.5. Расчеты (обоснования)  выплат  мер социальной поддержки 
отдельным категориям работников </t>
  </si>
  <si>
    <t>1.6. Расчеты (обоснования) выплат персоналу по уходу за ребенком</t>
  </si>
  <si>
    <t>Выплата пособия до 3-х лет</t>
  </si>
  <si>
    <t>1.7.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</si>
  <si>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субсидии на иные цели</t>
  </si>
  <si>
    <t>Численность работников, имеющих право на компенсацию</t>
  </si>
  <si>
    <t xml:space="preserve">Средний размер
выплаты, руб.  
</t>
  </si>
  <si>
    <t xml:space="preserve">Выплат компенсация  расходов на оплату стоимости проезда и провоза багажа к месту использования отпуска (отдыха) и обратно </t>
  </si>
  <si>
    <t>Численность работников, имеющих право на меры социальной поддержки</t>
  </si>
  <si>
    <t xml:space="preserve">Размер
расходов на меры социальной поддержки, руб.  
</t>
  </si>
  <si>
    <t>собственные доходы учреждения</t>
  </si>
  <si>
    <t>851, 852, 831, 853</t>
  </si>
  <si>
    <t>Плата за загрязнение окружающей среды</t>
  </si>
  <si>
    <t>Уплата госпошлины</t>
  </si>
  <si>
    <t>Расходы на  детей: питание (при невозможности организованного), поощрительные выплаты</t>
  </si>
  <si>
    <t>240</t>
  </si>
  <si>
    <t>113</t>
  </si>
  <si>
    <t>244</t>
  </si>
  <si>
    <t xml:space="preserve">Использование сети Интернет </t>
  </si>
  <si>
    <t>Оплата услуг телефонной связи</t>
  </si>
  <si>
    <t>Абонирование почтового ящика</t>
  </si>
  <si>
    <t>Оплата услуг по отоплению</t>
  </si>
  <si>
    <t>Оплата услуг по горячему  водоснабжению</t>
  </si>
  <si>
    <t>Оплата услуг по холодному водоснабжению</t>
  </si>
  <si>
    <t>Оплата услуг по водоотведению</t>
  </si>
  <si>
    <t>Оплата услуг по предоставлению электроэнергии</t>
  </si>
  <si>
    <t>Дератизация</t>
  </si>
  <si>
    <t>Дезинсекция</t>
  </si>
  <si>
    <t>Очистка территории</t>
  </si>
  <si>
    <t>Вывоз ТБО</t>
  </si>
  <si>
    <t>Обработка чердаков, подвалов</t>
  </si>
  <si>
    <t xml:space="preserve">заправка огнетушителей </t>
  </si>
  <si>
    <t>обслуживание пожарной сигнализации</t>
  </si>
  <si>
    <t>испытание лестниц, пожарных кранов</t>
  </si>
  <si>
    <t>обслуживание систем видеонаблюдения</t>
  </si>
  <si>
    <t>Ремонт, профилактика оргтехники</t>
  </si>
  <si>
    <t>замена фильтров для водоочистителя</t>
  </si>
  <si>
    <t>2 шт</t>
  </si>
  <si>
    <t>Проведение произ. контроля, замеры физ.фактров</t>
  </si>
  <si>
    <t>Тех. обслуж. ВЛЭП, светильников</t>
  </si>
  <si>
    <t>Поверка и технич.обслуживание средств измерений тепловых узлов</t>
  </si>
  <si>
    <t>Сервисное тех. обсл. и ремонт внутридом. систем отопления, гор. и хол. Водосн, установка и наладка  приборов учета т/энергии</t>
  </si>
  <si>
    <t>Обслуж. КТС, ОПС</t>
  </si>
  <si>
    <t>обслуживание пожарной сигнализации (Мониторинг ПМС)</t>
  </si>
  <si>
    <t>Неисключит. Права использ. "СБиС+"</t>
  </si>
  <si>
    <t>Оказание консультационных услуг, настройка программных продуктов</t>
  </si>
  <si>
    <t>Услуги мед. Осмотра</t>
  </si>
  <si>
    <t>Обучение на курсах</t>
  </si>
  <si>
    <t>Проведение санминимума</t>
  </si>
  <si>
    <t>Полиграфические услуги</t>
  </si>
  <si>
    <t>Стерилизация биксов</t>
  </si>
  <si>
    <t>подписка и доставка период.литературы</t>
  </si>
  <si>
    <t>Спец.оценка рабочих мест</t>
  </si>
  <si>
    <t>Абон.обсл. на прием, обезвреж.мед. отходов классов А.БВ.</t>
  </si>
  <si>
    <t>Утилизация ртутьсодержащих отходов</t>
  </si>
  <si>
    <t xml:space="preserve"> Текущий ремонт и реставрация нефинансовых активов</t>
  </si>
  <si>
    <t xml:space="preserve"> Капитальный ремонт, модернизация, реконструкция нефинансовых активов</t>
  </si>
  <si>
    <t>Договора услуг</t>
  </si>
  <si>
    <t>Другие расходы по прочим работам, услугам</t>
  </si>
  <si>
    <t>2212,9 кв.м</t>
  </si>
  <si>
    <t>68,4 куб.м</t>
  </si>
  <si>
    <t>38 шт</t>
  </si>
  <si>
    <t>сумма</t>
  </si>
  <si>
    <t>вода</t>
  </si>
  <si>
    <t>906 0703 71501 00050 611</t>
  </si>
  <si>
    <t>906 0703 71501 00050 612</t>
  </si>
  <si>
    <t>906 0703 71401S0790 612</t>
  </si>
  <si>
    <t>906 0703 7140170790 612</t>
  </si>
  <si>
    <t>906 0703 71501S1100 611</t>
  </si>
  <si>
    <t>906 0703 7150171100 611</t>
  </si>
  <si>
    <t xml:space="preserve">на 2017 г. 
очередной финансовый год
</t>
  </si>
  <si>
    <t xml:space="preserve">на 2018 г. 
1-ый год планового периода
</t>
  </si>
  <si>
    <t xml:space="preserve">на 2019 г. 
2-ой год планового периода
</t>
  </si>
  <si>
    <t>ост на счете</t>
  </si>
  <si>
    <t xml:space="preserve"> контроль Всего</t>
  </si>
  <si>
    <t>на 2019 г.</t>
  </si>
  <si>
    <t>Расчеты (обоснования) на 2017 к плану финансово-хозяйственной деятельности государственного (муниципального) учреждения на 2017 год и плановый период 2018 и 2019 годы</t>
  </si>
  <si>
    <t>111</t>
  </si>
  <si>
    <t>Перикись водорода</t>
  </si>
  <si>
    <t>Бинт стерильный</t>
  </si>
  <si>
    <t>Лейкопластырь</t>
  </si>
  <si>
    <t>Цемент (40 кг)</t>
  </si>
  <si>
    <t>Шпаклевка КРК (20 кг)</t>
  </si>
  <si>
    <t>Штукатурка (25 кг)</t>
  </si>
  <si>
    <t>Шпаклевка латексная (16 кг)</t>
  </si>
  <si>
    <t>Грунтовка (4,5 л)</t>
  </si>
  <si>
    <t>Эмаль белая (1 кг)</t>
  </si>
  <si>
    <t>Эмаль красно-коричневая (20 кг)</t>
  </si>
  <si>
    <t>Краска водоэмульсионная (1 л)</t>
  </si>
  <si>
    <t>Колер</t>
  </si>
  <si>
    <t xml:space="preserve">Растворитель </t>
  </si>
  <si>
    <t>Уайт-спирит</t>
  </si>
  <si>
    <t>Валик (шубка поролоновая)</t>
  </si>
  <si>
    <t>Кисть малярная</t>
  </si>
  <si>
    <t>Пена монтажная</t>
  </si>
  <si>
    <t>Герметик селиконовый</t>
  </si>
  <si>
    <t>Круг наждачный</t>
  </si>
  <si>
    <t>Полотно для ножовки</t>
  </si>
  <si>
    <t>Жидкие гвозди (бут)</t>
  </si>
  <si>
    <t>19</t>
  </si>
  <si>
    <t>Скобы для мебельного степлера</t>
  </si>
  <si>
    <t>20</t>
  </si>
  <si>
    <t>Сверло по металлу</t>
  </si>
  <si>
    <t>21</t>
  </si>
  <si>
    <t>Диск для циркулярной пилы</t>
  </si>
  <si>
    <t>22</t>
  </si>
  <si>
    <t>Картридж Q2612A</t>
  </si>
  <si>
    <t>Картридж Samsung MLT-D101S</t>
  </si>
  <si>
    <t>Картридж HP CE 285 A</t>
  </si>
  <si>
    <t>Компьютерные колонки</t>
  </si>
  <si>
    <t>Акустика</t>
  </si>
  <si>
    <t>Картридж Canon IR 2018/2022</t>
  </si>
  <si>
    <t>Фотобарабан Canon IR 2018/2022</t>
  </si>
  <si>
    <t>Картридж Сanon FX - 10</t>
  </si>
  <si>
    <t>Клавиатура</t>
  </si>
  <si>
    <t>Мышь для компьютера</t>
  </si>
  <si>
    <t>Чистящее средство "Санокс"</t>
  </si>
  <si>
    <t>Мыло жидкое (баллон - 5 литров)</t>
  </si>
  <si>
    <t>Чистящее средство "Пемолюкс"</t>
  </si>
  <si>
    <t>Сменный модуль "Аквафор" (ком-кт)</t>
  </si>
  <si>
    <t>Ткань несканная (тряпка для мытья пола рулон - 50 метров)</t>
  </si>
  <si>
    <t>Перчатки диэлектрические</t>
  </si>
  <si>
    <t>Мешки для мусора (30 л, в упаковке 20 штук)</t>
  </si>
  <si>
    <t>Дезенфицирующее ср-во"Хлоромикс" (в табл, 300 шт. )</t>
  </si>
  <si>
    <t>Краски "Гуашь"</t>
  </si>
  <si>
    <t>Альбом для рисования</t>
  </si>
  <si>
    <t>Клей ПВА 1 литр</t>
  </si>
  <si>
    <t>Бумага писчая А4 (1 уп. -500листов)</t>
  </si>
  <si>
    <t>Бумага цветная офисная А 4 (100 листов)</t>
  </si>
  <si>
    <t>Бумага ламинированная (уп.)</t>
  </si>
  <si>
    <t>Папка-скоросшиватель</t>
  </si>
  <si>
    <t>Набор цветных карандашей</t>
  </si>
  <si>
    <t>Салфетки влажные (1 упаковка)</t>
  </si>
  <si>
    <t>Скотч прозрачный</t>
  </si>
  <si>
    <t>Скобы для степлера</t>
  </si>
  <si>
    <t>Кисточка "белка №1"</t>
  </si>
  <si>
    <t>Кисточка "белка №3"</t>
  </si>
  <si>
    <t>Кисточка "белка№5"</t>
  </si>
  <si>
    <t>Вата стерильная</t>
  </si>
  <si>
    <t>Йод</t>
  </si>
  <si>
    <t>Зеленка</t>
  </si>
  <si>
    <t>Перекись водорода</t>
  </si>
  <si>
    <t>Мяч футбольный</t>
  </si>
  <si>
    <t>Мяч волейбольный</t>
  </si>
  <si>
    <t>Ракетки для настольного тенниса</t>
  </si>
  <si>
    <t>Бадминтон</t>
  </si>
  <si>
    <t>Мяч для настольного тенниса</t>
  </si>
  <si>
    <t>Черенок для грабель</t>
  </si>
  <si>
    <t>Перчатки х/б</t>
  </si>
  <si>
    <t>Мешки строительные</t>
  </si>
  <si>
    <t>Средство от комаров</t>
  </si>
  <si>
    <t>Туалетная бумага</t>
  </si>
  <si>
    <t>Бумажные полотенца</t>
  </si>
  <si>
    <t>Салфетки бумажные (1 упаковка)</t>
  </si>
  <si>
    <t>Вода питьевая (330 мл)</t>
  </si>
  <si>
    <t>Папка-дело</t>
  </si>
  <si>
    <t>Файлы (уп)</t>
  </si>
  <si>
    <t>Ручки шариковые</t>
  </si>
  <si>
    <t>Игра настольная</t>
  </si>
  <si>
    <t>Фломастеры цветные (набор)</t>
  </si>
  <si>
    <t>Ластик</t>
  </si>
  <si>
    <t>Клей - карандаш</t>
  </si>
  <si>
    <t>Ватман</t>
  </si>
  <si>
    <t>Мел цветной (уп)</t>
  </si>
  <si>
    <t>Краски "Гуашь" набор</t>
  </si>
  <si>
    <t>Бумага цветная (набор)</t>
  </si>
  <si>
    <t>Картон цветной (набор)</t>
  </si>
  <si>
    <t>Кисть для рисования (набор)</t>
  </si>
  <si>
    <t>Вода бутилированная (5 л)</t>
  </si>
  <si>
    <t>Скрепака канцелярская (уп)</t>
  </si>
  <si>
    <t>Кнопки канцелярские (уп)</t>
  </si>
  <si>
    <t>23</t>
  </si>
  <si>
    <t>Краски "Акварель" цветные</t>
  </si>
  <si>
    <t>24</t>
  </si>
  <si>
    <t>25</t>
  </si>
  <si>
    <t>Маркер</t>
  </si>
  <si>
    <t>26</t>
  </si>
  <si>
    <t>Грамота, благодарность</t>
  </si>
  <si>
    <t>Заглушки для плинтуса</t>
  </si>
  <si>
    <t>Уголки для плинтуса</t>
  </si>
  <si>
    <t>Порог-стык</t>
  </si>
  <si>
    <t>Плинтус напольный</t>
  </si>
  <si>
    <t>Костюм Х/б мужской</t>
  </si>
  <si>
    <t>Халат женский</t>
  </si>
  <si>
    <t>Доска маркерная</t>
  </si>
  <si>
    <t>Конверт маркеровочный</t>
  </si>
  <si>
    <t>Средство для мытья стекол</t>
  </si>
  <si>
    <t>ДВП (лист 1220 х 2745 х 3,2)</t>
  </si>
  <si>
    <t>Лента сигнальная красно-белая</t>
  </si>
  <si>
    <t>Батарейки (уп - 4 шт.)</t>
  </si>
  <si>
    <t>Автомат 32 А, 20 А</t>
  </si>
  <si>
    <t>Сетевой удлинитель</t>
  </si>
  <si>
    <t>Изолента</t>
  </si>
  <si>
    <t xml:space="preserve">Подводка для смесителя </t>
  </si>
  <si>
    <t>Смеситель</t>
  </si>
  <si>
    <t>Кран-поилка для школьного фонтанчика</t>
  </si>
  <si>
    <t>Сантехнические материалы</t>
  </si>
  <si>
    <t>Саморезы, дюбеля, гвозди</t>
  </si>
  <si>
    <t>Светильники ЛБ</t>
  </si>
  <si>
    <t>Кабель (повод, м)</t>
  </si>
  <si>
    <t>Кабель-канал (2 м)</t>
  </si>
  <si>
    <t>Лампа ЛБ-40</t>
  </si>
  <si>
    <t>Перчатки латексные</t>
  </si>
  <si>
    <t>27</t>
  </si>
  <si>
    <t>28</t>
  </si>
  <si>
    <t>29</t>
  </si>
  <si>
    <t>Рубероид (рулон)</t>
  </si>
  <si>
    <t>30</t>
  </si>
  <si>
    <t>Битум 25 кг</t>
  </si>
  <si>
    <t>31</t>
  </si>
  <si>
    <t>Гипсокартон (25,00 х 12,00 х 12,5)</t>
  </si>
  <si>
    <t>32</t>
  </si>
  <si>
    <t>АКБ 12V на 7 Амп</t>
  </si>
  <si>
    <t>33</t>
  </si>
  <si>
    <t>Скотч двусторонний</t>
  </si>
  <si>
    <t>34</t>
  </si>
  <si>
    <t>Фанера (150х150 х 3)</t>
  </si>
  <si>
    <t>35</t>
  </si>
  <si>
    <t>Фанера (150х150 х 5)</t>
  </si>
  <si>
    <t>36</t>
  </si>
  <si>
    <t>Очки защитные с душками</t>
  </si>
  <si>
    <t>37</t>
  </si>
  <si>
    <t>38</t>
  </si>
  <si>
    <t>39</t>
  </si>
  <si>
    <t>40</t>
  </si>
  <si>
    <t>Краска окриловая, водоэмул-ая, 1 кг</t>
  </si>
  <si>
    <t>41</t>
  </si>
  <si>
    <t>Клей момент</t>
  </si>
  <si>
    <t>42</t>
  </si>
  <si>
    <t>Заклепочник литой</t>
  </si>
  <si>
    <t>43</t>
  </si>
  <si>
    <t>Линейка металлическая 40 см</t>
  </si>
  <si>
    <t>44</t>
  </si>
  <si>
    <t>Угольник металлический 40 см</t>
  </si>
  <si>
    <t>45</t>
  </si>
  <si>
    <t>Циркуль с фиксацией ножки</t>
  </si>
  <si>
    <t>46</t>
  </si>
  <si>
    <t>Струбцина</t>
  </si>
  <si>
    <t>47</t>
  </si>
  <si>
    <t>Отвертка крестовая</t>
  </si>
  <si>
    <t>48</t>
  </si>
  <si>
    <t>Отвертка плоская</t>
  </si>
  <si>
    <t>49</t>
  </si>
  <si>
    <t>Ножевка по дереву</t>
  </si>
  <si>
    <t>50</t>
  </si>
  <si>
    <t>Ножевка по металлу "Зубр"</t>
  </si>
  <si>
    <t>51</t>
  </si>
  <si>
    <t>Полотно по металлу 300 мм "Зубр"</t>
  </si>
  <si>
    <t>52</t>
  </si>
  <si>
    <t>Набор сверл 3 х 14 мм</t>
  </si>
  <si>
    <t>53</t>
  </si>
  <si>
    <t>Зубило по металлу 100 мм</t>
  </si>
  <si>
    <t>54</t>
  </si>
  <si>
    <t>55</t>
  </si>
  <si>
    <t>Олово (припой)</t>
  </si>
  <si>
    <t>56</t>
  </si>
  <si>
    <t>Кислота пояльная (750 мл)</t>
  </si>
  <si>
    <t>57</t>
  </si>
  <si>
    <t>Пилка для электролобзика (набор)</t>
  </si>
  <si>
    <t>58</t>
  </si>
  <si>
    <t>Нож канцелярский</t>
  </si>
  <si>
    <t>59</t>
  </si>
  <si>
    <t>60</t>
  </si>
  <si>
    <t>61</t>
  </si>
  <si>
    <t>62</t>
  </si>
  <si>
    <t>Клей для клеевого пистолет</t>
  </si>
  <si>
    <t>63</t>
  </si>
  <si>
    <t>Шпатлевка стекловолоконная эпоксидная (1 кг)</t>
  </si>
  <si>
    <t>64</t>
  </si>
  <si>
    <t>Шпатлевка эпоксидная (финишная)</t>
  </si>
  <si>
    <t>65</t>
  </si>
  <si>
    <t>Диски для ушин для стали</t>
  </si>
  <si>
    <t>66</t>
  </si>
  <si>
    <t>Диски для ушин для алюминия</t>
  </si>
  <si>
    <t>67</t>
  </si>
  <si>
    <t>Клей для древесины</t>
  </si>
  <si>
    <t>68</t>
  </si>
  <si>
    <t>Батарейка крона</t>
  </si>
  <si>
    <t>69</t>
  </si>
  <si>
    <t>Замок дверной</t>
  </si>
  <si>
    <t>70</t>
  </si>
  <si>
    <t>Замок навесной</t>
  </si>
  <si>
    <t>71</t>
  </si>
  <si>
    <t>Лыжные палки (пара)</t>
  </si>
  <si>
    <t>72</t>
  </si>
  <si>
    <t>Лента малярная</t>
  </si>
  <si>
    <t>73</t>
  </si>
  <si>
    <t>Сетка абразивная или наждачная бумага (уп)</t>
  </si>
  <si>
    <t>74</t>
  </si>
  <si>
    <t>Нитки х/б (катушка)</t>
  </si>
  <si>
    <t>75</t>
  </si>
  <si>
    <t>Нитки ирис (катушка)</t>
  </si>
  <si>
    <t>76</t>
  </si>
  <si>
    <t>Калька рулонная</t>
  </si>
  <si>
    <t>77</t>
  </si>
  <si>
    <t>Выключатель (2-х клав)</t>
  </si>
  <si>
    <t>78</t>
  </si>
  <si>
    <t>Тетрадь   (96 л)</t>
  </si>
  <si>
    <t>79</t>
  </si>
  <si>
    <t>Пленка (самоклеющаяся бумага, 1 м/п)</t>
  </si>
  <si>
    <t>Пюпитр</t>
  </si>
  <si>
    <t>Клеевой пистолет</t>
  </si>
  <si>
    <t>Жалюзи вертикальные (2,0 м х 1,8 м, пластиковые)</t>
  </si>
  <si>
    <t>Жалюзи вертикальные (1,9 м х 1,3 м, пластиковые)</t>
  </si>
  <si>
    <t xml:space="preserve">Ноутбук </t>
  </si>
  <si>
    <t>Отпариватель (паро-утюг)</t>
  </si>
  <si>
    <t>Программное обеспечение 226</t>
  </si>
  <si>
    <t>временные рабочие места для подростков</t>
  </si>
  <si>
    <t>персонал</t>
  </si>
  <si>
    <t>119</t>
  </si>
  <si>
    <t>Уплата штрафов, пеней, выплат по решениям судов</t>
  </si>
  <si>
    <t>Оплата  услуг (культурно-массов.меропр., прочие)</t>
  </si>
  <si>
    <t xml:space="preserve">Оплата труда внештатных сотрудников по договорам </t>
  </si>
  <si>
    <t>Местные  и внутризоновые соединения, услуги автом.МГ связи</t>
  </si>
  <si>
    <t>213 контроль Всего</t>
  </si>
  <si>
    <t>ВСЕ</t>
  </si>
  <si>
    <t>проверка качества противопожарной обработки чердачного помещения</t>
  </si>
  <si>
    <t>Поверка диэлектрических перчаток</t>
  </si>
  <si>
    <t>Замена видеорегистратора камер видеонаблюдения</t>
  </si>
  <si>
    <t>изменения</t>
  </si>
  <si>
    <t>вар ЦВР</t>
  </si>
  <si>
    <t>добав. 29190,99</t>
  </si>
  <si>
    <t>175,73 м к  - на 2017</t>
  </si>
  <si>
    <t>добав. 2488,8</t>
  </si>
  <si>
    <t>24489,68 - на 2017</t>
  </si>
  <si>
    <t xml:space="preserve"> добав. 4347,68</t>
  </si>
  <si>
    <t>было 1169300</t>
  </si>
  <si>
    <t>убрать 6002,94</t>
  </si>
  <si>
    <t xml:space="preserve"> добав. 3260,00</t>
  </si>
  <si>
    <t>убрать 35600,00</t>
  </si>
  <si>
    <t>было 349947,84</t>
  </si>
  <si>
    <t>добавлена услуга 2400,00</t>
  </si>
  <si>
    <t>добавлена услуга 5800,00</t>
  </si>
  <si>
    <t>было 406229,73</t>
  </si>
  <si>
    <t>сумма итого таблиц 6.1 - 6.6 : 2007362,63 не изменилась</t>
  </si>
  <si>
    <t>1 раз в квартал</t>
  </si>
  <si>
    <t>х 3100</t>
  </si>
  <si>
    <t>У слуги ЗАО "Ростелеком"</t>
  </si>
  <si>
    <t>Оказание услуг по очистке снега и наледи кровли</t>
  </si>
  <si>
    <t>Радиомикрофон вокальный беспроводной (вокальная радиосистема)</t>
  </si>
  <si>
    <t>860</t>
  </si>
  <si>
    <t>000</t>
  </si>
  <si>
    <t>Медикаменты для палаточного лагеря</t>
  </si>
  <si>
    <t>Другие расхода на увеличение мат.запасов(палат.лагерь)</t>
  </si>
  <si>
    <t>Продукты питания для палаточного лагеря</t>
  </si>
  <si>
    <t>906 0707 7170271070 612</t>
  </si>
  <si>
    <t>906 0707 71702S1070 612</t>
  </si>
  <si>
    <t>План финансово-хозяйственной деятельности (с учетом изменений)</t>
  </si>
  <si>
    <t>Услуги охраны в летние лагеря</t>
  </si>
  <si>
    <t>Поверка средств измерений</t>
  </si>
  <si>
    <t>Другие расходы по прочим выплатам</t>
  </si>
  <si>
    <t>на 30 сентября  2017 г.</t>
  </si>
  <si>
    <t>на 30 сентября 2017 г.</t>
  </si>
  <si>
    <t>Иные расходы</t>
  </si>
  <si>
    <t>Иные</t>
  </si>
  <si>
    <t>906 0703 000000000 000</t>
  </si>
  <si>
    <t>Другие расходы на увелич. ст-ти МЗ</t>
  </si>
  <si>
    <t xml:space="preserve">1.4. Расчеты (обоснования)  выплат  по возмещению расходов  на прохождение медицинского осмотра </t>
  </si>
  <si>
    <t>1.3. Расчеты (обоснования) выплат компенсации расходов на оплату стоимости проезда и провоза багажа к месту использования отпуска (отдыха) и обратно</t>
  </si>
  <si>
    <t>Сумма, руб. (гр. 3 x гр. 4 x гр. 5)</t>
  </si>
  <si>
    <t>Сумма исчисленного налога, подлежащего уплате, руб. (гр. 3 x гр. 4 / 100)</t>
  </si>
  <si>
    <t>5. Расчет (обоснование) прочих расходов (кроме расходов на закупку товаров, работ, услуг)</t>
  </si>
  <si>
    <t>Количество работ (услуг)</t>
  </si>
  <si>
    <t>Стоимость работ (услуг), руб.</t>
  </si>
  <si>
    <t>Председатель комитета по образованию</t>
  </si>
  <si>
    <t>Л.Ф.Орлова</t>
  </si>
  <si>
    <t>09 октября 2017 г.</t>
  </si>
  <si>
    <t>От  30 сентября 2017 г.</t>
  </si>
  <si>
    <t>И.В.Калинина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</si>
</sst>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_-* #,##0.0_р_._-;\-* #,##0.0_р_._-;_-* &quot;-&quot;??_р_.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#,##0.00_ ;\-#,##0.00\ "/>
    <numFmt numFmtId="187" formatCode="#,##0.00&quot;р.&quot;"/>
    <numFmt numFmtId="188" formatCode="_-* #,##0.0_р_._-;\-* #,##0.0_р_._-;_-* &quot;-&quot;?_р_._-;_-@_-"/>
    <numFmt numFmtId="189" formatCode="#,##0.00_р_."/>
    <numFmt numFmtId="190" formatCode="#,##0.0"/>
    <numFmt numFmtId="191" formatCode="_(* #,##0_);_(* \(#,##0\);_(* &quot;-&quot;??_);_(@_)"/>
    <numFmt numFmtId="192" formatCode="0.0000000%"/>
    <numFmt numFmtId="193" formatCode="0.000000%"/>
    <numFmt numFmtId="194" formatCode="0.00000%"/>
    <numFmt numFmtId="195" formatCode="0.0000%"/>
    <numFmt numFmtId="196" formatCode="0.000%"/>
    <numFmt numFmtId="197" formatCode="#,##0.000"/>
  </numFmts>
  <fonts count="78"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vertAlign val="superscript"/>
      <sz val="10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9"/>
      <name val="Times New Roman"/>
      <family val="1"/>
    </font>
    <font>
      <sz val="11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8" fillId="0" borderId="10" xfId="0" applyNumberFormat="1" applyFont="1" applyBorder="1" applyAlignment="1">
      <alignment vertical="top" wrapText="1"/>
    </xf>
    <xf numFmtId="43" fontId="4" fillId="0" borderId="10" xfId="61" applyFont="1" applyBorder="1" applyAlignment="1">
      <alignment vertical="top" wrapText="1"/>
    </xf>
    <xf numFmtId="43" fontId="8" fillId="0" borderId="10" xfId="61" applyFont="1" applyBorder="1" applyAlignment="1">
      <alignment vertical="top" wrapText="1"/>
    </xf>
    <xf numFmtId="43" fontId="8" fillId="0" borderId="10" xfId="61" applyNumberFormat="1" applyFont="1" applyBorder="1" applyAlignment="1">
      <alignment vertical="top"/>
    </xf>
    <xf numFmtId="43" fontId="8" fillId="0" borderId="10" xfId="61" applyFont="1" applyBorder="1" applyAlignment="1">
      <alignment vertical="top"/>
    </xf>
    <xf numFmtId="43" fontId="4" fillId="0" borderId="10" xfId="61" applyFont="1" applyBorder="1" applyAlignment="1">
      <alignment vertical="top"/>
    </xf>
    <xf numFmtId="186" fontId="15" fillId="0" borderId="10" xfId="61" applyNumberFormat="1" applyFont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16" fillId="0" borderId="0" xfId="53" applyAlignment="1">
      <alignment horizontal="center" vertical="center" wrapText="1"/>
      <protection/>
    </xf>
    <xf numFmtId="0" fontId="16" fillId="0" borderId="10" xfId="53" applyBorder="1" applyAlignment="1">
      <alignment horizontal="center" vertical="center" wrapText="1"/>
      <protection/>
    </xf>
    <xf numFmtId="0" fontId="16" fillId="0" borderId="10" xfId="53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6" fillId="0" borderId="13" xfId="53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9" fontId="4" fillId="0" borderId="14" xfId="58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9" fontId="4" fillId="0" borderId="10" xfId="58" applyFont="1" applyBorder="1" applyAlignment="1">
      <alignment horizontal="center" vertical="center" wrapText="1"/>
    </xf>
    <xf numFmtId="43" fontId="4" fillId="33" borderId="10" xfId="61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8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4" fillId="0" borderId="0" xfId="53" applyFont="1" applyBorder="1" applyAlignment="1">
      <alignment horizontal="left" vertical="center" wrapText="1"/>
      <protection/>
    </xf>
    <xf numFmtId="0" fontId="16" fillId="0" borderId="0" xfId="53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wrapText="1"/>
    </xf>
    <xf numFmtId="0" fontId="6" fillId="0" borderId="19" xfId="53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2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34" borderId="10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184" fontId="27" fillId="0" borderId="10" xfId="0" applyNumberFormat="1" applyFont="1" applyBorder="1" applyAlignment="1">
      <alignment horizontal="center" vertical="center" wrapText="1"/>
    </xf>
    <xf numFmtId="0" fontId="4" fillId="0" borderId="16" xfId="53" applyFont="1" applyBorder="1" applyAlignment="1">
      <alignment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9" fontId="4" fillId="0" borderId="0" xfId="58" applyFont="1" applyBorder="1" applyAlignment="1">
      <alignment horizontal="center" vertical="center" wrapText="1"/>
    </xf>
    <xf numFmtId="0" fontId="23" fillId="0" borderId="10" xfId="53" applyFont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center" vertical="top" wrapText="1"/>
    </xf>
    <xf numFmtId="14" fontId="9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43" fontId="15" fillId="0" borderId="10" xfId="61" applyFont="1" applyBorder="1" applyAlignment="1">
      <alignment vertical="top"/>
    </xf>
    <xf numFmtId="0" fontId="4" fillId="0" borderId="18" xfId="0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43" fontId="31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43" fontId="4" fillId="0" borderId="10" xfId="63" applyFont="1" applyBorder="1" applyAlignment="1">
      <alignment vertical="top" wrapText="1"/>
    </xf>
    <xf numFmtId="2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9" fillId="0" borderId="10" xfId="54" applyFont="1" applyBorder="1" applyAlignment="1">
      <alignment wrapText="1"/>
      <protection/>
    </xf>
    <xf numFmtId="49" fontId="20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191" fontId="30" fillId="0" borderId="23" xfId="63" applyNumberFormat="1" applyFont="1" applyBorder="1" applyAlignment="1">
      <alignment wrapText="1"/>
    </xf>
    <xf numFmtId="49" fontId="8" fillId="35" borderId="13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49" fontId="8" fillId="35" borderId="0" xfId="0" applyNumberFormat="1" applyFont="1" applyFill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49" fontId="8" fillId="36" borderId="13" xfId="0" applyNumberFormat="1" applyFont="1" applyFill="1" applyBorder="1" applyAlignment="1">
      <alignment horizontal="left"/>
    </xf>
    <xf numFmtId="49" fontId="8" fillId="37" borderId="13" xfId="0" applyNumberFormat="1" applyFont="1" applyFill="1" applyBorder="1" applyAlignment="1">
      <alignment horizontal="left"/>
    </xf>
    <xf numFmtId="0" fontId="17" fillId="0" borderId="24" xfId="54" applyFont="1" applyBorder="1" applyAlignment="1">
      <alignment wrapText="1"/>
      <protection/>
    </xf>
    <xf numFmtId="3" fontId="8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top" wrapText="1"/>
    </xf>
    <xf numFmtId="43" fontId="4" fillId="0" borderId="10" xfId="0" applyNumberFormat="1" applyFont="1" applyBorder="1" applyAlignment="1">
      <alignment horizontal="center" vertical="top" wrapText="1"/>
    </xf>
    <xf numFmtId="43" fontId="4" fillId="0" borderId="0" xfId="0" applyNumberFormat="1" applyFont="1" applyBorder="1" applyAlignment="1">
      <alignment horizontal="left"/>
    </xf>
    <xf numFmtId="43" fontId="2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4" fontId="34" fillId="0" borderId="0" xfId="0" applyNumberFormat="1" applyFont="1" applyBorder="1" applyAlignment="1">
      <alignment horizontal="center"/>
    </xf>
    <xf numFmtId="185" fontId="4" fillId="0" borderId="0" xfId="58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3" fontId="27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43" fontId="4" fillId="0" borderId="10" xfId="6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185" fontId="3" fillId="0" borderId="0" xfId="58" applyNumberFormat="1" applyFont="1" applyBorder="1" applyAlignment="1">
      <alignment horizontal="left"/>
    </xf>
    <xf numFmtId="195" fontId="4" fillId="0" borderId="0" xfId="58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0" fillId="0" borderId="0" xfId="0" applyNumberFormat="1" applyFill="1" applyAlignment="1">
      <alignment/>
    </xf>
    <xf numFmtId="4" fontId="10" fillId="0" borderId="0" xfId="0" applyNumberFormat="1" applyFont="1" applyFill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 indent="2"/>
    </xf>
    <xf numFmtId="0" fontId="36" fillId="34" borderId="10" xfId="0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/>
    </xf>
    <xf numFmtId="0" fontId="37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3" fontId="76" fillId="0" borderId="0" xfId="0" applyNumberFormat="1" applyFont="1" applyBorder="1" applyAlignment="1">
      <alignment horizontal="left"/>
    </xf>
    <xf numFmtId="43" fontId="8" fillId="38" borderId="0" xfId="0" applyNumberFormat="1" applyFont="1" applyFill="1" applyBorder="1" applyAlignment="1">
      <alignment horizontal="left"/>
    </xf>
    <xf numFmtId="0" fontId="77" fillId="0" borderId="0" xfId="0" applyNumberFormat="1" applyFont="1" applyBorder="1" applyAlignment="1">
      <alignment horizontal="left" vertical="center"/>
    </xf>
    <xf numFmtId="3" fontId="77" fillId="0" borderId="0" xfId="0" applyNumberFormat="1" applyFont="1" applyBorder="1" applyAlignment="1">
      <alignment horizontal="left" vertical="center"/>
    </xf>
    <xf numFmtId="4" fontId="77" fillId="0" borderId="0" xfId="0" applyNumberFormat="1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183" fontId="27" fillId="0" borderId="10" xfId="0" applyNumberFormat="1" applyFont="1" applyBorder="1" applyAlignment="1">
      <alignment horizontal="center" vertical="center" wrapText="1"/>
    </xf>
    <xf numFmtId="43" fontId="4" fillId="39" borderId="10" xfId="61" applyFont="1" applyFill="1" applyBorder="1" applyAlignment="1">
      <alignment vertical="top" wrapText="1"/>
    </xf>
    <xf numFmtId="4" fontId="76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top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25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2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8" fillId="0" borderId="0" xfId="53" applyFont="1" applyBorder="1" applyAlignment="1">
      <alignment horizontal="center" vertical="center" wrapText="1"/>
      <protection/>
    </xf>
    <xf numFmtId="0" fontId="16" fillId="0" borderId="0" xfId="53" applyBorder="1" applyAlignment="1">
      <alignment horizontal="center" vertical="center" wrapText="1"/>
      <protection/>
    </xf>
    <xf numFmtId="0" fontId="8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4" fillId="37" borderId="0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4" fillId="36" borderId="0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top" wrapText="1"/>
    </xf>
    <xf numFmtId="177" fontId="4" fillId="0" borderId="0" xfId="63" applyNumberFormat="1" applyFont="1" applyBorder="1" applyAlignment="1">
      <alignment horizontal="left"/>
    </xf>
    <xf numFmtId="177" fontId="3" fillId="0" borderId="0" xfId="63" applyNumberFormat="1" applyFont="1" applyBorder="1" applyAlignment="1">
      <alignment horizontal="left"/>
    </xf>
    <xf numFmtId="184" fontId="4" fillId="0" borderId="0" xfId="0" applyNumberFormat="1" applyFont="1" applyBorder="1" applyAlignment="1">
      <alignment horizontal="left"/>
    </xf>
    <xf numFmtId="0" fontId="12" fillId="0" borderId="19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стат. расчеты к смете 2011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25" sqref="A25:G25"/>
    </sheetView>
  </sheetViews>
  <sheetFormatPr defaultColWidth="9.00390625" defaultRowHeight="12.75"/>
  <cols>
    <col min="9" max="9" width="8.375" style="0" customWidth="1"/>
    <col min="10" max="10" width="12.75390625" style="0" customWidth="1"/>
  </cols>
  <sheetData>
    <row r="1" ht="10.5" customHeight="1">
      <c r="F1" s="5"/>
    </row>
    <row r="2" ht="12.75" hidden="1">
      <c r="F2" s="5"/>
    </row>
    <row r="3" ht="12.75" hidden="1">
      <c r="F3" s="5"/>
    </row>
    <row r="4" ht="15" hidden="1">
      <c r="A4" s="1"/>
    </row>
    <row r="5" spans="1:10" ht="15" hidden="1">
      <c r="A5" s="2"/>
      <c r="B5" s="2"/>
      <c r="C5" s="2"/>
      <c r="D5" s="3"/>
      <c r="F5" s="281"/>
      <c r="G5" s="281"/>
      <c r="H5" s="281"/>
      <c r="I5" s="281"/>
      <c r="J5" s="281"/>
    </row>
    <row r="6" spans="1:10" ht="15">
      <c r="A6" s="2"/>
      <c r="B6" s="2"/>
      <c r="C6" s="2"/>
      <c r="D6" s="3"/>
      <c r="F6" s="6"/>
      <c r="G6" s="6"/>
      <c r="H6" s="6"/>
      <c r="I6" s="6"/>
      <c r="J6" s="6"/>
    </row>
    <row r="7" spans="1:10" ht="15.75">
      <c r="A7" s="2"/>
      <c r="B7" s="2"/>
      <c r="C7" s="2"/>
      <c r="D7" s="3"/>
      <c r="E7" s="7"/>
      <c r="F7" s="284" t="s">
        <v>0</v>
      </c>
      <c r="G7" s="284"/>
      <c r="H7" s="284"/>
      <c r="I7" s="284"/>
      <c r="J7" s="284"/>
    </row>
    <row r="8" spans="1:10" ht="32.25" customHeight="1">
      <c r="A8" s="2"/>
      <c r="B8" s="2"/>
      <c r="C8" s="2"/>
      <c r="D8" s="3"/>
      <c r="F8" s="286" t="s">
        <v>740</v>
      </c>
      <c r="G8" s="286"/>
      <c r="H8" s="286"/>
      <c r="I8" s="286"/>
      <c r="J8" s="286"/>
    </row>
    <row r="9" spans="1:10" ht="15.75" customHeight="1">
      <c r="A9" s="2"/>
      <c r="B9" s="2"/>
      <c r="C9" s="2"/>
      <c r="D9" s="3"/>
      <c r="F9" s="363" t="s">
        <v>16</v>
      </c>
      <c r="G9" s="363"/>
      <c r="H9" s="363"/>
      <c r="I9" s="363"/>
      <c r="J9" s="363"/>
    </row>
    <row r="10" spans="1:10" ht="28.5" customHeight="1">
      <c r="A10" s="2"/>
      <c r="B10" s="2"/>
      <c r="C10" s="2"/>
      <c r="D10" s="3"/>
      <c r="F10" s="280"/>
      <c r="G10" s="280"/>
      <c r="H10" s="280"/>
      <c r="I10" s="283" t="s">
        <v>741</v>
      </c>
      <c r="J10" s="283"/>
    </row>
    <row r="11" spans="1:10" ht="15.75" customHeight="1">
      <c r="A11" s="2"/>
      <c r="B11" s="2"/>
      <c r="C11" s="2"/>
      <c r="D11" s="3"/>
      <c r="F11" s="363" t="s">
        <v>1</v>
      </c>
      <c r="G11" s="363"/>
      <c r="H11" s="363"/>
      <c r="I11" s="363" t="s">
        <v>2</v>
      </c>
      <c r="J11" s="363"/>
    </row>
    <row r="12" spans="1:10" ht="25.5" customHeight="1">
      <c r="A12" s="2"/>
      <c r="B12" s="2"/>
      <c r="C12" s="2"/>
      <c r="D12" s="3"/>
      <c r="F12" s="287" t="s">
        <v>742</v>
      </c>
      <c r="G12" s="287"/>
      <c r="H12" s="287"/>
      <c r="I12" s="287"/>
      <c r="J12" s="287"/>
    </row>
    <row r="13" spans="1:4" ht="15.75" customHeight="1">
      <c r="A13" s="2"/>
      <c r="B13" s="2"/>
      <c r="C13" s="2"/>
      <c r="D13" s="3"/>
    </row>
    <row r="14" spans="1:9" ht="15">
      <c r="A14" s="2"/>
      <c r="B14" s="2"/>
      <c r="C14" s="2"/>
      <c r="D14" s="3"/>
      <c r="E14" s="271"/>
      <c r="F14" s="271"/>
      <c r="G14" s="271"/>
      <c r="H14" s="2"/>
      <c r="I14" s="2"/>
    </row>
    <row r="15" spans="1:9" ht="18.75">
      <c r="A15" s="282"/>
      <c r="B15" s="282"/>
      <c r="C15" s="282"/>
      <c r="D15" s="282"/>
      <c r="E15" s="282"/>
      <c r="F15" s="282"/>
      <c r="G15" s="282"/>
      <c r="H15" s="282"/>
      <c r="I15" s="282"/>
    </row>
    <row r="16" spans="1:10" ht="18.75" customHeight="1">
      <c r="A16" s="282" t="s">
        <v>723</v>
      </c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0" ht="18.75" customHeight="1">
      <c r="A17" s="282" t="s">
        <v>364</v>
      </c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8.75" customHeight="1">
      <c r="A18" s="282" t="s">
        <v>365</v>
      </c>
      <c r="B18" s="282"/>
      <c r="C18" s="282"/>
      <c r="D18" s="282"/>
      <c r="E18" s="282"/>
      <c r="F18" s="282"/>
      <c r="G18" s="282"/>
      <c r="H18" s="282"/>
      <c r="I18" s="282"/>
      <c r="J18" s="282"/>
    </row>
    <row r="19" spans="2:10" ht="15.75" customHeight="1" thickBot="1">
      <c r="B19" s="119"/>
      <c r="C19" s="119"/>
      <c r="D19" s="119"/>
      <c r="E19" s="119"/>
      <c r="F19" s="119"/>
      <c r="G19" s="119"/>
      <c r="H19" s="119"/>
      <c r="I19" s="119"/>
      <c r="J19" s="21" t="s">
        <v>3</v>
      </c>
    </row>
    <row r="20" spans="1:10" ht="28.5" customHeight="1">
      <c r="A20" s="120" t="s">
        <v>743</v>
      </c>
      <c r="H20" s="278"/>
      <c r="I20" s="364"/>
      <c r="J20" s="117"/>
    </row>
    <row r="21" spans="1:10" ht="15" customHeight="1">
      <c r="A21" s="4"/>
      <c r="B21" s="4"/>
      <c r="C21" s="279"/>
      <c r="D21" s="279"/>
      <c r="E21" s="279"/>
      <c r="F21" s="4"/>
      <c r="G21" s="4"/>
      <c r="H21" s="278"/>
      <c r="I21" s="278"/>
      <c r="J21" s="118"/>
    </row>
    <row r="22" spans="1:10" ht="15">
      <c r="A22" s="270" t="s">
        <v>5</v>
      </c>
      <c r="B22" s="270"/>
      <c r="C22" s="270"/>
      <c r="D22" s="270"/>
      <c r="E22" s="270"/>
      <c r="F22" s="8"/>
      <c r="G22" s="8"/>
      <c r="H22" s="273" t="s">
        <v>4</v>
      </c>
      <c r="I22" s="273"/>
      <c r="J22" s="22">
        <v>51693559</v>
      </c>
    </row>
    <row r="23" spans="1:10" ht="36.75" customHeight="1">
      <c r="A23" s="270" t="s">
        <v>216</v>
      </c>
      <c r="B23" s="270"/>
      <c r="C23" s="270"/>
      <c r="D23" s="270"/>
      <c r="E23" s="270"/>
      <c r="F23" s="270"/>
      <c r="G23" s="270"/>
      <c r="H23" s="273" t="s">
        <v>7</v>
      </c>
      <c r="I23" s="273"/>
      <c r="J23" s="23">
        <v>5108900856</v>
      </c>
    </row>
    <row r="24" spans="1:10" ht="15">
      <c r="A24" s="270" t="s">
        <v>6</v>
      </c>
      <c r="B24" s="270"/>
      <c r="C24" s="270"/>
      <c r="D24" s="270"/>
      <c r="E24" s="270"/>
      <c r="F24" s="121"/>
      <c r="G24" s="121"/>
      <c r="H24" s="273" t="s">
        <v>8</v>
      </c>
      <c r="I24" s="274"/>
      <c r="J24" s="23">
        <v>510801001</v>
      </c>
    </row>
    <row r="25" spans="1:10" ht="42" customHeight="1">
      <c r="A25" s="285" t="s">
        <v>35</v>
      </c>
      <c r="B25" s="285"/>
      <c r="C25" s="285"/>
      <c r="D25" s="285"/>
      <c r="E25" s="285"/>
      <c r="F25" s="285"/>
      <c r="G25" s="285"/>
      <c r="H25" s="273" t="s">
        <v>9</v>
      </c>
      <c r="I25" s="274"/>
      <c r="J25" s="23">
        <v>47417000000</v>
      </c>
    </row>
    <row r="26" spans="8:10" ht="15" customHeight="1">
      <c r="H26" s="276"/>
      <c r="I26" s="277"/>
      <c r="J26" s="22"/>
    </row>
    <row r="27" spans="1:10" ht="15" customHeight="1">
      <c r="A27" s="270" t="s">
        <v>10</v>
      </c>
      <c r="B27" s="270"/>
      <c r="C27" s="270"/>
      <c r="D27" s="270"/>
      <c r="E27" s="270"/>
      <c r="F27" s="270"/>
      <c r="G27" s="270"/>
      <c r="H27" s="273" t="s">
        <v>11</v>
      </c>
      <c r="I27" s="274"/>
      <c r="J27" s="22">
        <v>906</v>
      </c>
    </row>
    <row r="28" spans="1:10" ht="16.5" thickBot="1">
      <c r="A28" s="270"/>
      <c r="B28" s="270"/>
      <c r="C28" s="270"/>
      <c r="D28" s="270"/>
      <c r="E28" s="270"/>
      <c r="F28" s="270"/>
      <c r="G28" s="270"/>
      <c r="H28" s="273" t="s">
        <v>12</v>
      </c>
      <c r="I28" s="273"/>
      <c r="J28" s="24">
        <v>383</v>
      </c>
    </row>
    <row r="29" spans="1:9" ht="31.5" customHeight="1">
      <c r="A29" s="270" t="s">
        <v>13</v>
      </c>
      <c r="B29" s="270"/>
      <c r="C29" s="270"/>
      <c r="D29" s="270"/>
      <c r="E29" s="270"/>
      <c r="F29" s="270"/>
      <c r="G29" s="270"/>
      <c r="H29" s="8"/>
      <c r="I29" s="8"/>
    </row>
    <row r="30" spans="1:9" ht="31.5" customHeight="1">
      <c r="A30" s="270" t="s">
        <v>34</v>
      </c>
      <c r="B30" s="270"/>
      <c r="C30" s="270"/>
      <c r="D30" s="270"/>
      <c r="E30" s="270"/>
      <c r="F30" s="270"/>
      <c r="G30" s="270"/>
      <c r="H30" s="8"/>
      <c r="I30" s="8"/>
    </row>
    <row r="31" spans="1:9" ht="15">
      <c r="A31" s="272"/>
      <c r="B31" s="272"/>
      <c r="C31" s="272"/>
      <c r="D31" s="272"/>
      <c r="E31" s="272"/>
      <c r="F31" s="8"/>
      <c r="G31" s="8"/>
      <c r="H31" s="8"/>
      <c r="I31" s="8"/>
    </row>
    <row r="32" spans="1:9" ht="15">
      <c r="A32" s="270" t="s">
        <v>14</v>
      </c>
      <c r="B32" s="270"/>
      <c r="C32" s="270"/>
      <c r="D32" s="270"/>
      <c r="E32" s="270"/>
      <c r="F32" s="270"/>
      <c r="G32" s="270"/>
      <c r="H32" s="8"/>
      <c r="I32" s="8"/>
    </row>
    <row r="33" spans="1:9" ht="37.5" customHeight="1">
      <c r="A33" s="275" t="s">
        <v>217</v>
      </c>
      <c r="B33" s="275"/>
      <c r="C33" s="275"/>
      <c r="D33" s="275"/>
      <c r="E33" s="275"/>
      <c r="F33" s="275"/>
      <c r="G33" s="275"/>
      <c r="H33" s="8"/>
      <c r="I33" s="8"/>
    </row>
    <row r="34" spans="1:9" ht="15">
      <c r="A34" s="272"/>
      <c r="B34" s="272"/>
      <c r="C34" s="272"/>
      <c r="D34" s="272"/>
      <c r="E34" s="272"/>
      <c r="F34" s="8"/>
      <c r="G34" s="8"/>
      <c r="H34" s="8"/>
      <c r="I34" s="8"/>
    </row>
    <row r="35" spans="1:9" ht="15.75" customHeight="1">
      <c r="A35" s="270" t="s">
        <v>15</v>
      </c>
      <c r="B35" s="270"/>
      <c r="C35" s="270"/>
      <c r="D35" s="270"/>
      <c r="E35" s="270"/>
      <c r="F35" s="270"/>
      <c r="G35" s="270"/>
      <c r="H35" s="270"/>
      <c r="I35" s="270"/>
    </row>
    <row r="36" spans="1:9" ht="36" customHeight="1">
      <c r="A36" s="270" t="s">
        <v>218</v>
      </c>
      <c r="B36" s="270"/>
      <c r="C36" s="270"/>
      <c r="D36" s="270"/>
      <c r="E36" s="270"/>
      <c r="F36" s="270"/>
      <c r="G36" s="270"/>
      <c r="H36" s="8"/>
      <c r="I36" s="8"/>
    </row>
    <row r="37" spans="1:9" ht="15.75" customHeight="1">
      <c r="A37" s="271"/>
      <c r="B37" s="271"/>
      <c r="C37" s="271"/>
      <c r="D37" s="271"/>
      <c r="E37" s="271"/>
      <c r="F37" s="271"/>
      <c r="G37" s="271"/>
      <c r="H37" s="271"/>
      <c r="I37" s="271"/>
    </row>
    <row r="38" spans="1:9" ht="15">
      <c r="A38" s="271"/>
      <c r="B38" s="271"/>
      <c r="C38" s="271"/>
      <c r="D38" s="271"/>
      <c r="E38" s="271"/>
      <c r="F38" s="271"/>
      <c r="G38" s="271"/>
      <c r="H38" s="271"/>
      <c r="I38" s="271"/>
    </row>
    <row r="39" spans="1:12" ht="40.5" customHeight="1">
      <c r="A39" s="269" t="s">
        <v>43</v>
      </c>
      <c r="B39" s="269"/>
      <c r="C39" s="269"/>
      <c r="D39" s="269"/>
      <c r="E39" s="269"/>
      <c r="F39" s="269"/>
      <c r="G39" s="269"/>
      <c r="H39" s="269"/>
      <c r="I39" s="269"/>
      <c r="J39" s="269"/>
      <c r="K39" s="50"/>
      <c r="L39" s="50"/>
    </row>
    <row r="40" spans="2:6" ht="15.75">
      <c r="B40" s="130" t="s">
        <v>234</v>
      </c>
      <c r="C40" s="130">
        <v>9</v>
      </c>
      <c r="D40" s="130">
        <v>6</v>
      </c>
      <c r="E40" s="130">
        <v>1</v>
      </c>
      <c r="F40" s="130">
        <v>5</v>
      </c>
    </row>
  </sheetData>
  <sheetProtection/>
  <mergeCells count="41">
    <mergeCell ref="A17:J17"/>
    <mergeCell ref="H20:I20"/>
    <mergeCell ref="F7:J7"/>
    <mergeCell ref="H25:I25"/>
    <mergeCell ref="A25:G25"/>
    <mergeCell ref="F8:J8"/>
    <mergeCell ref="F12:J12"/>
    <mergeCell ref="A18:J18"/>
    <mergeCell ref="I11:J11"/>
    <mergeCell ref="A15:I15"/>
    <mergeCell ref="F10:H10"/>
    <mergeCell ref="F9:J9"/>
    <mergeCell ref="F5:J5"/>
    <mergeCell ref="A16:J16"/>
    <mergeCell ref="E14:G14"/>
    <mergeCell ref="F11:H11"/>
    <mergeCell ref="I10:J10"/>
    <mergeCell ref="H23:I23"/>
    <mergeCell ref="H21:I21"/>
    <mergeCell ref="H22:I22"/>
    <mergeCell ref="A22:E22"/>
    <mergeCell ref="C21:E21"/>
    <mergeCell ref="A23:G23"/>
    <mergeCell ref="H27:I27"/>
    <mergeCell ref="H24:I24"/>
    <mergeCell ref="A33:G33"/>
    <mergeCell ref="A28:G28"/>
    <mergeCell ref="A27:G27"/>
    <mergeCell ref="H28:I28"/>
    <mergeCell ref="A24:E24"/>
    <mergeCell ref="H26:I26"/>
    <mergeCell ref="A39:J39"/>
    <mergeCell ref="A29:G29"/>
    <mergeCell ref="A37:I37"/>
    <mergeCell ref="A38:I38"/>
    <mergeCell ref="A36:G36"/>
    <mergeCell ref="A31:E31"/>
    <mergeCell ref="A30:G30"/>
    <mergeCell ref="A34:E34"/>
    <mergeCell ref="A35:I35"/>
    <mergeCell ref="A32:G3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D29"/>
  <sheetViews>
    <sheetView workbookViewId="0" topLeftCell="A1">
      <selection activeCell="D21" sqref="D21"/>
    </sheetView>
  </sheetViews>
  <sheetFormatPr defaultColWidth="22.875" defaultRowHeight="12.75"/>
  <cols>
    <col min="1" max="1" width="40.125" style="35" customWidth="1"/>
    <col min="2" max="4" width="21.625" style="35" customWidth="1"/>
    <col min="5" max="16384" width="22.875" style="35" customWidth="1"/>
  </cols>
  <sheetData>
    <row r="2" spans="1:4" ht="12.75">
      <c r="A2" s="316" t="s">
        <v>203</v>
      </c>
      <c r="B2" s="317"/>
      <c r="C2" s="317"/>
      <c r="D2" s="317"/>
    </row>
    <row r="3" spans="1:4" ht="15" customHeight="1">
      <c r="A3" s="316" t="s">
        <v>204</v>
      </c>
      <c r="B3" s="316"/>
      <c r="C3" s="316"/>
      <c r="D3" s="316"/>
    </row>
    <row r="4" spans="1:4" ht="15" customHeight="1">
      <c r="A4" s="316" t="s">
        <v>728</v>
      </c>
      <c r="B4" s="316"/>
      <c r="C4" s="316"/>
      <c r="D4" s="316"/>
    </row>
    <row r="6" spans="1:4" ht="60.75" customHeight="1">
      <c r="A6" s="113" t="s">
        <v>205</v>
      </c>
      <c r="B6" s="36" t="s">
        <v>206</v>
      </c>
      <c r="C6" s="38" t="s">
        <v>207</v>
      </c>
      <c r="D6" s="38" t="s">
        <v>208</v>
      </c>
    </row>
    <row r="7" spans="1:4" ht="54.75" customHeight="1">
      <c r="A7" s="37" t="s">
        <v>209</v>
      </c>
      <c r="B7" s="36"/>
      <c r="C7" s="36"/>
      <c r="D7" s="36"/>
    </row>
    <row r="8" spans="1:4" ht="15.75" customHeight="1">
      <c r="A8" s="37"/>
      <c r="B8" s="36"/>
      <c r="C8" s="36"/>
      <c r="D8" s="36"/>
    </row>
    <row r="9" spans="1:4" ht="54.75" customHeight="1">
      <c r="A9" s="37" t="s">
        <v>210</v>
      </c>
      <c r="B9" s="42"/>
      <c r="C9" s="42"/>
      <c r="D9" s="43"/>
    </row>
    <row r="10" spans="1:4" ht="16.5" customHeight="1">
      <c r="A10" s="37"/>
      <c r="B10" s="48"/>
      <c r="C10" s="48"/>
      <c r="D10" s="45"/>
    </row>
    <row r="11" spans="1:4" ht="25.5">
      <c r="A11" s="37" t="s">
        <v>211</v>
      </c>
      <c r="B11" s="44"/>
      <c r="C11" s="44"/>
      <c r="D11" s="45"/>
    </row>
    <row r="12" spans="1:4" ht="15">
      <c r="A12" s="37"/>
      <c r="B12" s="44"/>
      <c r="C12" s="44"/>
      <c r="D12" s="45"/>
    </row>
    <row r="13" spans="1:4" ht="25.5">
      <c r="A13" s="37" t="s">
        <v>212</v>
      </c>
      <c r="B13" s="44"/>
      <c r="C13" s="44"/>
      <c r="D13" s="45"/>
    </row>
    <row r="14" spans="1:4" ht="15">
      <c r="A14" s="37"/>
      <c r="B14" s="44"/>
      <c r="C14" s="44"/>
      <c r="D14" s="45"/>
    </row>
    <row r="15" spans="1:4" ht="15">
      <c r="A15" s="116" t="s">
        <v>213</v>
      </c>
      <c r="B15" s="44" t="s">
        <v>28</v>
      </c>
      <c r="C15" s="44" t="s">
        <v>28</v>
      </c>
      <c r="D15" s="45"/>
    </row>
    <row r="16" spans="1:4" ht="15">
      <c r="A16" s="85"/>
      <c r="B16" s="114"/>
      <c r="C16" s="114"/>
      <c r="D16" s="115"/>
    </row>
    <row r="19" ht="12.75" customHeight="1">
      <c r="A19" s="84" t="s">
        <v>214</v>
      </c>
    </row>
    <row r="20" spans="1:4" ht="12.75" customHeight="1">
      <c r="A20" s="84" t="s">
        <v>215</v>
      </c>
      <c r="B20" s="39"/>
      <c r="D20" s="86" t="s">
        <v>744</v>
      </c>
    </row>
    <row r="21" spans="2:4" ht="12.75" customHeight="1">
      <c r="B21" s="40" t="s">
        <v>37</v>
      </c>
      <c r="C21" s="40"/>
      <c r="D21" s="87" t="s">
        <v>2</v>
      </c>
    </row>
    <row r="22" ht="12.75" customHeight="1">
      <c r="A22" s="85"/>
    </row>
    <row r="23" spans="1:4" ht="12.75" customHeight="1">
      <c r="A23" s="84" t="s">
        <v>231</v>
      </c>
      <c r="B23" s="39"/>
      <c r="D23" s="39" t="s">
        <v>36</v>
      </c>
    </row>
    <row r="24" spans="1:4" ht="12.75" customHeight="1">
      <c r="A24" s="84"/>
      <c r="B24" s="40" t="s">
        <v>37</v>
      </c>
      <c r="C24" s="40"/>
      <c r="D24" s="87" t="s">
        <v>2</v>
      </c>
    </row>
    <row r="26" spans="1:4" ht="12.75" customHeight="1">
      <c r="A26" s="84" t="s">
        <v>39</v>
      </c>
      <c r="B26" s="39"/>
      <c r="D26" s="39" t="s">
        <v>36</v>
      </c>
    </row>
    <row r="27" spans="1:4" ht="12.75" customHeight="1">
      <c r="A27" s="84" t="s">
        <v>40</v>
      </c>
      <c r="B27" s="40" t="s">
        <v>37</v>
      </c>
      <c r="C27" s="40"/>
      <c r="D27" s="87" t="s">
        <v>2</v>
      </c>
    </row>
    <row r="29" ht="15.75">
      <c r="A29" s="123" t="s">
        <v>728</v>
      </c>
    </row>
  </sheetData>
  <sheetProtection/>
  <mergeCells count="3">
    <mergeCell ref="A4:D4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zoomScalePageLayoutView="0" workbookViewId="0" topLeftCell="A23">
      <selection activeCell="K56" sqref="K56"/>
    </sheetView>
  </sheetViews>
  <sheetFormatPr defaultColWidth="0.875" defaultRowHeight="12.75"/>
  <cols>
    <col min="1" max="1" width="8.75390625" style="141" customWidth="1"/>
    <col min="2" max="2" width="28.625" style="141" customWidth="1"/>
    <col min="3" max="3" width="14.625" style="142" customWidth="1"/>
    <col min="4" max="4" width="9.875" style="141" bestFit="1" customWidth="1"/>
    <col min="5" max="5" width="14.625" style="141" customWidth="1"/>
    <col min="6" max="6" width="13.875" style="141" customWidth="1"/>
    <col min="7" max="7" width="13.375" style="141" customWidth="1"/>
    <col min="8" max="11" width="14.625" style="141" customWidth="1"/>
    <col min="12" max="16384" width="0.875" style="141" customWidth="1"/>
  </cols>
  <sheetData>
    <row r="1" spans="3:11" s="136" customFormat="1" ht="12.75" customHeight="1">
      <c r="C1" s="137"/>
      <c r="H1" s="138"/>
      <c r="I1" s="138"/>
      <c r="J1" s="138"/>
      <c r="K1" s="138"/>
    </row>
    <row r="2" spans="3:11" s="136" customFormat="1" ht="47.25" customHeight="1">
      <c r="C2" s="137"/>
      <c r="H2" s="322"/>
      <c r="I2" s="322"/>
      <c r="J2" s="322"/>
      <c r="K2" s="322"/>
    </row>
    <row r="3" spans="3:11" s="139" customFormat="1" ht="12.75" customHeight="1">
      <c r="C3" s="140"/>
      <c r="H3" s="323"/>
      <c r="I3" s="323"/>
      <c r="J3" s="323"/>
      <c r="K3" s="323"/>
    </row>
    <row r="5" spans="1:11" s="143" customFormat="1" ht="15.75">
      <c r="A5" s="324" t="s">
        <v>452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6" spans="1:11" ht="14.25">
      <c r="A6" s="318" t="s">
        <v>245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</row>
    <row r="7" ht="6" customHeight="1"/>
    <row r="8" spans="1:11" s="144" customFormat="1" ht="14.25">
      <c r="A8" s="144" t="s">
        <v>246</v>
      </c>
      <c r="C8" s="145"/>
      <c r="D8" s="146" t="s">
        <v>453</v>
      </c>
      <c r="E8" s="146"/>
      <c r="F8" s="146"/>
      <c r="G8" s="146"/>
      <c r="H8" s="146"/>
      <c r="I8" s="146"/>
      <c r="J8" s="146"/>
      <c r="K8" s="146"/>
    </row>
    <row r="9" spans="3:11" s="144" customFormat="1" ht="6" customHeight="1">
      <c r="C9" s="145"/>
      <c r="D9" s="147"/>
      <c r="E9" s="148"/>
      <c r="F9" s="148"/>
      <c r="G9" s="148"/>
      <c r="H9" s="148"/>
      <c r="I9" s="148"/>
      <c r="J9" s="148"/>
      <c r="K9" s="148"/>
    </row>
    <row r="10" spans="1:11" s="144" customFormat="1" ht="14.25">
      <c r="A10" s="144" t="s">
        <v>247</v>
      </c>
      <c r="C10" s="145"/>
      <c r="E10" s="149" t="s">
        <v>367</v>
      </c>
      <c r="F10" s="149"/>
      <c r="G10" s="149"/>
      <c r="H10" s="149"/>
      <c r="I10" s="149"/>
      <c r="J10" s="149"/>
      <c r="K10" s="149"/>
    </row>
    <row r="11" ht="9.75" customHeight="1"/>
    <row r="12" spans="1:11" s="143" customFormat="1" ht="15">
      <c r="A12" s="318" t="s">
        <v>248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</row>
    <row r="13" ht="10.5" customHeight="1"/>
    <row r="14" spans="1:11" s="151" customFormat="1" ht="13.5" customHeight="1">
      <c r="A14" s="319" t="s">
        <v>249</v>
      </c>
      <c r="B14" s="319" t="s">
        <v>250</v>
      </c>
      <c r="C14" s="325" t="s">
        <v>251</v>
      </c>
      <c r="D14" s="329" t="s">
        <v>252</v>
      </c>
      <c r="E14" s="330"/>
      <c r="F14" s="330"/>
      <c r="G14" s="331"/>
      <c r="H14" s="319" t="s">
        <v>253</v>
      </c>
      <c r="I14" s="319" t="s">
        <v>254</v>
      </c>
      <c r="J14" s="319" t="s">
        <v>255</v>
      </c>
      <c r="K14" s="328" t="s">
        <v>256</v>
      </c>
    </row>
    <row r="15" spans="1:11" s="151" customFormat="1" ht="13.5" customHeight="1">
      <c r="A15" s="320"/>
      <c r="B15" s="320"/>
      <c r="C15" s="326"/>
      <c r="D15" s="319" t="s">
        <v>24</v>
      </c>
      <c r="E15" s="329" t="s">
        <v>26</v>
      </c>
      <c r="F15" s="330"/>
      <c r="G15" s="331"/>
      <c r="H15" s="320"/>
      <c r="I15" s="320"/>
      <c r="J15" s="320"/>
      <c r="K15" s="328"/>
    </row>
    <row r="16" spans="1:11" s="151" customFormat="1" ht="66" customHeight="1">
      <c r="A16" s="321"/>
      <c r="B16" s="321"/>
      <c r="C16" s="327"/>
      <c r="D16" s="321"/>
      <c r="E16" s="150" t="s">
        <v>257</v>
      </c>
      <c r="F16" s="150" t="s">
        <v>258</v>
      </c>
      <c r="G16" s="150" t="s">
        <v>259</v>
      </c>
      <c r="H16" s="321"/>
      <c r="I16" s="321"/>
      <c r="J16" s="321"/>
      <c r="K16" s="328"/>
    </row>
    <row r="17" spans="1:11" s="154" customFormat="1" ht="12.75">
      <c r="A17" s="152">
        <v>1</v>
      </c>
      <c r="B17" s="153">
        <v>2</v>
      </c>
      <c r="C17" s="217">
        <v>3</v>
      </c>
      <c r="D17" s="152">
        <v>4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  <c r="J17" s="152">
        <v>10</v>
      </c>
      <c r="K17" s="152">
        <v>11</v>
      </c>
    </row>
    <row r="18" spans="1:11" s="158" customFormat="1" ht="15" customHeight="1">
      <c r="A18" s="155" t="s">
        <v>260</v>
      </c>
      <c r="B18" s="156" t="s">
        <v>261</v>
      </c>
      <c r="C18" s="157">
        <v>1</v>
      </c>
      <c r="D18" s="157">
        <f aca="true" t="shared" si="0" ref="D18:D33">E18+F18+G18</f>
        <v>29220</v>
      </c>
      <c r="E18" s="157">
        <v>15000</v>
      </c>
      <c r="F18" s="157"/>
      <c r="G18" s="157">
        <f>E18*0.948</f>
        <v>14220</v>
      </c>
      <c r="H18" s="157"/>
      <c r="I18" s="157">
        <f>(D18*C18+E18*(H18/100))*1.3</f>
        <v>37986</v>
      </c>
      <c r="J18" s="157"/>
      <c r="K18" s="157">
        <f aca="true" t="shared" si="1" ref="K18:K35">(C18*D18+E18*C18*(H18/100)+I18)*12+J18</f>
        <v>806472</v>
      </c>
    </row>
    <row r="19" spans="1:11" s="158" customFormat="1" ht="15" customHeight="1">
      <c r="A19" s="155" t="s">
        <v>262</v>
      </c>
      <c r="B19" s="159" t="s">
        <v>263</v>
      </c>
      <c r="C19" s="157">
        <v>1</v>
      </c>
      <c r="D19" s="157">
        <f t="shared" si="0"/>
        <v>14994</v>
      </c>
      <c r="E19" s="157">
        <v>10500</v>
      </c>
      <c r="F19" s="157"/>
      <c r="G19" s="157">
        <f>E19*0.428</f>
        <v>4494</v>
      </c>
      <c r="H19" s="157"/>
      <c r="I19" s="157">
        <f aca="true" t="shared" si="2" ref="I19:I33">(D19*C19+E19*(H19/100))*1.3</f>
        <v>19492.2</v>
      </c>
      <c r="J19" s="157"/>
      <c r="K19" s="157">
        <f t="shared" si="1"/>
        <v>413834.39999999997</v>
      </c>
    </row>
    <row r="20" spans="1:11" s="158" customFormat="1" ht="15" customHeight="1">
      <c r="A20" s="155" t="s">
        <v>264</v>
      </c>
      <c r="B20" s="160" t="s">
        <v>354</v>
      </c>
      <c r="C20" s="157">
        <v>1</v>
      </c>
      <c r="D20" s="157">
        <f t="shared" si="0"/>
        <v>14994</v>
      </c>
      <c r="E20" s="157">
        <v>10500</v>
      </c>
      <c r="F20" s="157"/>
      <c r="G20" s="157">
        <f>E20*0.428</f>
        <v>4494</v>
      </c>
      <c r="H20" s="157"/>
      <c r="I20" s="157">
        <f t="shared" si="2"/>
        <v>19492.2</v>
      </c>
      <c r="J20" s="157"/>
      <c r="K20" s="157">
        <f t="shared" si="1"/>
        <v>413834.39999999997</v>
      </c>
    </row>
    <row r="21" spans="1:11" s="158" customFormat="1" ht="27" customHeight="1">
      <c r="A21" s="155" t="s">
        <v>265</v>
      </c>
      <c r="B21" s="173" t="s">
        <v>355</v>
      </c>
      <c r="C21" s="157">
        <v>1</v>
      </c>
      <c r="D21" s="157">
        <f t="shared" si="0"/>
        <v>10303.16</v>
      </c>
      <c r="E21" s="157">
        <v>7359.4</v>
      </c>
      <c r="F21" s="157"/>
      <c r="G21" s="157">
        <f>E21*0.4</f>
        <v>2943.76</v>
      </c>
      <c r="H21" s="157"/>
      <c r="I21" s="157">
        <f>(D21*C21+E21*(H21/100))*1.3</f>
        <v>13394.108</v>
      </c>
      <c r="J21" s="157"/>
      <c r="K21" s="157">
        <f>(C21*D21+E21*C21*(H21/100)+I21)*12+J21</f>
        <v>284367.216</v>
      </c>
    </row>
    <row r="22" spans="1:11" s="158" customFormat="1" ht="15" customHeight="1">
      <c r="A22" s="155" t="s">
        <v>267</v>
      </c>
      <c r="B22" s="161" t="s">
        <v>266</v>
      </c>
      <c r="C22" s="157">
        <v>28</v>
      </c>
      <c r="D22" s="157">
        <f t="shared" si="0"/>
        <v>12082.08019977</v>
      </c>
      <c r="E22" s="157">
        <v>7143.99</v>
      </c>
      <c r="F22" s="157"/>
      <c r="G22" s="157">
        <f>E22*0.691223</f>
        <v>4938.09019977</v>
      </c>
      <c r="H22" s="157"/>
      <c r="I22" s="157">
        <f t="shared" si="2"/>
        <v>439787.719271628</v>
      </c>
      <c r="J22" s="157"/>
      <c r="K22" s="157">
        <f t="shared" si="1"/>
        <v>9337031.578382256</v>
      </c>
    </row>
    <row r="23" spans="1:11" s="158" customFormat="1" ht="15" customHeight="1">
      <c r="A23" s="155" t="s">
        <v>268</v>
      </c>
      <c r="B23" s="174" t="s">
        <v>356</v>
      </c>
      <c r="C23" s="157">
        <v>1</v>
      </c>
      <c r="D23" s="157">
        <f t="shared" si="0"/>
        <v>12994.3668</v>
      </c>
      <c r="E23" s="157">
        <v>7612.4</v>
      </c>
      <c r="F23" s="157">
        <f>E23*0.04</f>
        <v>304.496</v>
      </c>
      <c r="G23" s="157">
        <f>E23*0.667</f>
        <v>5077.4708</v>
      </c>
      <c r="H23" s="157"/>
      <c r="I23" s="157">
        <f t="shared" si="2"/>
        <v>16892.67684</v>
      </c>
      <c r="J23" s="157"/>
      <c r="K23" s="157">
        <f t="shared" si="1"/>
        <v>358644.52368</v>
      </c>
    </row>
    <row r="24" spans="1:11" s="158" customFormat="1" ht="15" customHeight="1">
      <c r="A24" s="155" t="s">
        <v>269</v>
      </c>
      <c r="B24" s="175" t="s">
        <v>357</v>
      </c>
      <c r="C24" s="162">
        <v>1</v>
      </c>
      <c r="D24" s="157">
        <f t="shared" si="0"/>
        <v>12433.105200000002</v>
      </c>
      <c r="E24" s="163">
        <v>7283.6</v>
      </c>
      <c r="F24" s="157">
        <f>E24*0.04</f>
        <v>291.344</v>
      </c>
      <c r="G24" s="157">
        <f>E24*0.667</f>
        <v>4858.1612000000005</v>
      </c>
      <c r="H24" s="157"/>
      <c r="I24" s="157">
        <f t="shared" si="2"/>
        <v>16163.036760000003</v>
      </c>
      <c r="J24" s="157"/>
      <c r="K24" s="157">
        <f t="shared" si="1"/>
        <v>343153.70352000004</v>
      </c>
    </row>
    <row r="25" spans="1:11" s="158" customFormat="1" ht="15" customHeight="1">
      <c r="A25" s="155" t="s">
        <v>270</v>
      </c>
      <c r="B25" s="160" t="s">
        <v>358</v>
      </c>
      <c r="C25" s="162">
        <v>1</v>
      </c>
      <c r="D25" s="157">
        <f t="shared" si="0"/>
        <v>4518.192</v>
      </c>
      <c r="E25" s="163">
        <v>3164</v>
      </c>
      <c r="F25" s="157"/>
      <c r="G25" s="157">
        <f aca="true" t="shared" si="3" ref="G25:G33">E25*0.428</f>
        <v>1354.192</v>
      </c>
      <c r="H25" s="157"/>
      <c r="I25" s="157">
        <f t="shared" si="2"/>
        <v>5873.649600000001</v>
      </c>
      <c r="J25" s="157"/>
      <c r="K25" s="157">
        <f t="shared" si="1"/>
        <v>124702.0992</v>
      </c>
    </row>
    <row r="26" spans="1:11" s="158" customFormat="1" ht="15" customHeight="1">
      <c r="A26" s="155" t="s">
        <v>271</v>
      </c>
      <c r="B26" s="160" t="s">
        <v>359</v>
      </c>
      <c r="C26" s="162">
        <v>1</v>
      </c>
      <c r="D26" s="157">
        <f t="shared" si="0"/>
        <v>5040.84</v>
      </c>
      <c r="E26" s="163">
        <v>3530</v>
      </c>
      <c r="F26" s="157"/>
      <c r="G26" s="157">
        <f t="shared" si="3"/>
        <v>1510.84</v>
      </c>
      <c r="H26" s="157"/>
      <c r="I26" s="157">
        <f t="shared" si="2"/>
        <v>6553.092000000001</v>
      </c>
      <c r="J26" s="157"/>
      <c r="K26" s="157">
        <f t="shared" si="1"/>
        <v>139127.184</v>
      </c>
    </row>
    <row r="27" spans="1:11" s="158" customFormat="1" ht="15" customHeight="1">
      <c r="A27" s="155" t="s">
        <v>272</v>
      </c>
      <c r="B27" s="160" t="s">
        <v>360</v>
      </c>
      <c r="C27" s="162">
        <v>0.5</v>
      </c>
      <c r="D27" s="157">
        <f t="shared" si="0"/>
        <v>7247.0286</v>
      </c>
      <c r="E27" s="163">
        <v>5074.95</v>
      </c>
      <c r="F27" s="157"/>
      <c r="G27" s="157">
        <f t="shared" si="3"/>
        <v>2172.0786</v>
      </c>
      <c r="H27" s="157"/>
      <c r="I27" s="157">
        <f t="shared" si="2"/>
        <v>4710.56859</v>
      </c>
      <c r="J27" s="157"/>
      <c r="K27" s="157">
        <f t="shared" si="1"/>
        <v>100008.99468</v>
      </c>
    </row>
    <row r="28" spans="1:11" s="158" customFormat="1" ht="15" customHeight="1">
      <c r="A28" s="155" t="s">
        <v>273</v>
      </c>
      <c r="B28" s="160" t="s">
        <v>361</v>
      </c>
      <c r="C28" s="162">
        <v>1</v>
      </c>
      <c r="D28" s="157">
        <f t="shared" si="0"/>
        <v>9435.3498</v>
      </c>
      <c r="E28" s="163">
        <v>6427.35</v>
      </c>
      <c r="F28" s="157">
        <f>E28*0.04</f>
        <v>257.094</v>
      </c>
      <c r="G28" s="157">
        <f t="shared" si="3"/>
        <v>2750.9058</v>
      </c>
      <c r="H28" s="157"/>
      <c r="I28" s="157">
        <f t="shared" si="2"/>
        <v>12265.954740000001</v>
      </c>
      <c r="J28" s="157"/>
      <c r="K28" s="157">
        <f t="shared" si="1"/>
        <v>260415.65448000003</v>
      </c>
    </row>
    <row r="29" spans="1:11" s="158" customFormat="1" ht="15" customHeight="1">
      <c r="A29" s="155" t="s">
        <v>274</v>
      </c>
      <c r="B29" s="156" t="s">
        <v>275</v>
      </c>
      <c r="C29" s="162">
        <v>1</v>
      </c>
      <c r="D29" s="157">
        <f t="shared" si="0"/>
        <v>3572.8559999999998</v>
      </c>
      <c r="E29" s="163">
        <v>2502</v>
      </c>
      <c r="F29" s="157"/>
      <c r="G29" s="157">
        <f t="shared" si="3"/>
        <v>1070.856</v>
      </c>
      <c r="H29" s="157"/>
      <c r="I29" s="157">
        <f t="shared" si="2"/>
        <v>4644.7128</v>
      </c>
      <c r="J29" s="157"/>
      <c r="K29" s="157">
        <f t="shared" si="1"/>
        <v>98610.82560000001</v>
      </c>
    </row>
    <row r="30" spans="1:11" s="158" customFormat="1" ht="15" customHeight="1">
      <c r="A30" s="155" t="s">
        <v>276</v>
      </c>
      <c r="B30" s="164" t="s">
        <v>277</v>
      </c>
      <c r="C30" s="162">
        <v>7</v>
      </c>
      <c r="D30" s="157">
        <f t="shared" si="0"/>
        <v>4073.2560000000003</v>
      </c>
      <c r="E30" s="163">
        <v>2502</v>
      </c>
      <c r="F30" s="157">
        <f>E30*0.2</f>
        <v>500.40000000000003</v>
      </c>
      <c r="G30" s="157">
        <f t="shared" si="3"/>
        <v>1070.856</v>
      </c>
      <c r="H30" s="157"/>
      <c r="I30" s="157">
        <f t="shared" si="2"/>
        <v>37066.6296</v>
      </c>
      <c r="J30" s="157"/>
      <c r="K30" s="157">
        <f t="shared" si="1"/>
        <v>786953.0592</v>
      </c>
    </row>
    <row r="31" spans="1:11" s="158" customFormat="1" ht="15" customHeight="1">
      <c r="A31" s="155" t="s">
        <v>278</v>
      </c>
      <c r="B31" s="164" t="s">
        <v>279</v>
      </c>
      <c r="C31" s="162">
        <v>4</v>
      </c>
      <c r="D31" s="157">
        <f t="shared" si="0"/>
        <v>3572.8559999999998</v>
      </c>
      <c r="E31" s="163">
        <v>2502</v>
      </c>
      <c r="F31" s="157"/>
      <c r="G31" s="157">
        <f t="shared" si="3"/>
        <v>1070.856</v>
      </c>
      <c r="H31" s="157"/>
      <c r="I31" s="157">
        <f t="shared" si="2"/>
        <v>18578.8512</v>
      </c>
      <c r="J31" s="157"/>
      <c r="K31" s="157">
        <f t="shared" si="1"/>
        <v>394443.30240000004</v>
      </c>
    </row>
    <row r="32" spans="1:11" s="158" customFormat="1" ht="15" customHeight="1">
      <c r="A32" s="155" t="s">
        <v>280</v>
      </c>
      <c r="B32" s="164" t="s">
        <v>281</v>
      </c>
      <c r="C32" s="157">
        <v>1</v>
      </c>
      <c r="D32" s="157">
        <f t="shared" si="0"/>
        <v>4306.848</v>
      </c>
      <c r="E32" s="157">
        <v>3016</v>
      </c>
      <c r="F32" s="157"/>
      <c r="G32" s="157">
        <f t="shared" si="3"/>
        <v>1290.848</v>
      </c>
      <c r="H32" s="157"/>
      <c r="I32" s="157">
        <f t="shared" si="2"/>
        <v>5598.9024</v>
      </c>
      <c r="J32" s="157"/>
      <c r="K32" s="157">
        <f t="shared" si="1"/>
        <v>118869.00480000001</v>
      </c>
    </row>
    <row r="33" spans="1:11" s="158" customFormat="1" ht="15" customHeight="1">
      <c r="A33" s="155" t="s">
        <v>282</v>
      </c>
      <c r="B33" s="176" t="s">
        <v>362</v>
      </c>
      <c r="C33" s="157">
        <v>0.5</v>
      </c>
      <c r="D33" s="157">
        <f t="shared" si="0"/>
        <v>5253.612</v>
      </c>
      <c r="E33" s="157">
        <v>3679</v>
      </c>
      <c r="F33" s="157"/>
      <c r="G33" s="157">
        <f t="shared" si="3"/>
        <v>1574.612</v>
      </c>
      <c r="H33" s="157"/>
      <c r="I33" s="157">
        <f t="shared" si="2"/>
        <v>3414.8478</v>
      </c>
      <c r="J33" s="157"/>
      <c r="K33" s="157">
        <f t="shared" si="1"/>
        <v>72499.8456</v>
      </c>
    </row>
    <row r="34" spans="1:11" s="158" customFormat="1" ht="24.75" customHeight="1">
      <c r="A34" s="155" t="s">
        <v>283</v>
      </c>
      <c r="B34" s="165" t="s">
        <v>284</v>
      </c>
      <c r="C34" s="157"/>
      <c r="D34" s="157"/>
      <c r="E34" s="157"/>
      <c r="F34" s="157"/>
      <c r="G34" s="157"/>
      <c r="H34" s="157"/>
      <c r="I34" s="157"/>
      <c r="J34" s="177">
        <f>765104-1.79</f>
        <v>765102.21</v>
      </c>
      <c r="K34" s="157">
        <f t="shared" si="1"/>
        <v>765102.21</v>
      </c>
    </row>
    <row r="35" spans="1:11" s="158" customFormat="1" ht="24.75" customHeight="1">
      <c r="A35" s="155" t="s">
        <v>285</v>
      </c>
      <c r="B35" s="165" t="s">
        <v>286</v>
      </c>
      <c r="C35" s="157"/>
      <c r="D35" s="157"/>
      <c r="E35" s="157"/>
      <c r="F35" s="157"/>
      <c r="G35" s="157"/>
      <c r="H35" s="157"/>
      <c r="I35" s="157"/>
      <c r="J35" s="157">
        <f>1234890+400000</f>
        <v>1634890</v>
      </c>
      <c r="K35" s="157">
        <f t="shared" si="1"/>
        <v>1634890</v>
      </c>
    </row>
    <row r="36" spans="1:11" s="158" customFormat="1" ht="18" customHeight="1">
      <c r="A36" s="166" t="s">
        <v>287</v>
      </c>
      <c r="B36" s="167"/>
      <c r="C36" s="157" t="s">
        <v>28</v>
      </c>
      <c r="D36" s="168"/>
      <c r="E36" s="168" t="s">
        <v>28</v>
      </c>
      <c r="F36" s="168" t="s">
        <v>28</v>
      </c>
      <c r="G36" s="168" t="s">
        <v>28</v>
      </c>
      <c r="H36" s="168" t="s">
        <v>28</v>
      </c>
      <c r="I36" s="168" t="s">
        <v>28</v>
      </c>
      <c r="J36" s="169">
        <f>SUM(J18:J35)</f>
        <v>2399992.21</v>
      </c>
      <c r="K36" s="169">
        <f>SUM(K18:K35)</f>
        <v>16452960.001542255</v>
      </c>
    </row>
    <row r="37" ht="17.25" customHeight="1">
      <c r="K37" s="142">
        <f>16452960-K36</f>
        <v>-0.0015422552824020386</v>
      </c>
    </row>
    <row r="40" ht="12.75">
      <c r="K40" s="142"/>
    </row>
    <row r="44" spans="1:11" s="144" customFormat="1" ht="14.25">
      <c r="A44" s="144" t="s">
        <v>246</v>
      </c>
      <c r="C44" s="145"/>
      <c r="D44" s="146" t="s">
        <v>453</v>
      </c>
      <c r="E44" s="146"/>
      <c r="F44" s="146"/>
      <c r="G44" s="146"/>
      <c r="H44" s="146"/>
      <c r="I44" s="146"/>
      <c r="J44" s="146"/>
      <c r="K44" s="146"/>
    </row>
    <row r="45" spans="3:11" s="144" customFormat="1" ht="6" customHeight="1">
      <c r="C45" s="145"/>
      <c r="D45" s="147"/>
      <c r="E45" s="148"/>
      <c r="F45" s="148"/>
      <c r="G45" s="148"/>
      <c r="H45" s="148"/>
      <c r="I45" s="148"/>
      <c r="J45" s="148"/>
      <c r="K45" s="148"/>
    </row>
    <row r="46" spans="1:11" s="144" customFormat="1" ht="15">
      <c r="A46" s="144" t="s">
        <v>247</v>
      </c>
      <c r="C46" s="145"/>
      <c r="E46" s="216" t="s">
        <v>386</v>
      </c>
      <c r="F46" s="149"/>
      <c r="G46" s="149"/>
      <c r="H46" s="149"/>
      <c r="I46" s="149"/>
      <c r="J46" s="149"/>
      <c r="K46" s="149"/>
    </row>
    <row r="48" spans="1:11" s="143" customFormat="1" ht="15">
      <c r="A48" s="318" t="s">
        <v>248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</row>
    <row r="49" ht="10.5" customHeight="1"/>
    <row r="50" spans="1:11" s="151" customFormat="1" ht="13.5" customHeight="1">
      <c r="A50" s="319" t="s">
        <v>249</v>
      </c>
      <c r="B50" s="319" t="s">
        <v>250</v>
      </c>
      <c r="C50" s="325" t="s">
        <v>251</v>
      </c>
      <c r="D50" s="329" t="s">
        <v>252</v>
      </c>
      <c r="E50" s="330"/>
      <c r="F50" s="330"/>
      <c r="G50" s="331"/>
      <c r="H50" s="319" t="s">
        <v>253</v>
      </c>
      <c r="I50" s="319" t="s">
        <v>254</v>
      </c>
      <c r="J50" s="319" t="s">
        <v>255</v>
      </c>
      <c r="K50" s="328" t="s">
        <v>256</v>
      </c>
    </row>
    <row r="51" spans="1:11" s="151" customFormat="1" ht="13.5" customHeight="1">
      <c r="A51" s="320"/>
      <c r="B51" s="320"/>
      <c r="C51" s="326"/>
      <c r="D51" s="319" t="s">
        <v>24</v>
      </c>
      <c r="E51" s="329" t="s">
        <v>26</v>
      </c>
      <c r="F51" s="330"/>
      <c r="G51" s="331"/>
      <c r="H51" s="320"/>
      <c r="I51" s="320"/>
      <c r="J51" s="320"/>
      <c r="K51" s="328"/>
    </row>
    <row r="52" spans="1:11" s="151" customFormat="1" ht="66" customHeight="1">
      <c r="A52" s="321"/>
      <c r="B52" s="321"/>
      <c r="C52" s="327"/>
      <c r="D52" s="321"/>
      <c r="E52" s="150" t="s">
        <v>257</v>
      </c>
      <c r="F52" s="150" t="s">
        <v>258</v>
      </c>
      <c r="G52" s="150" t="s">
        <v>259</v>
      </c>
      <c r="H52" s="321"/>
      <c r="I52" s="321"/>
      <c r="J52" s="321"/>
      <c r="K52" s="328"/>
    </row>
    <row r="53" spans="1:11" s="154" customFormat="1" ht="12.75">
      <c r="A53" s="152">
        <v>1</v>
      </c>
      <c r="B53" s="153">
        <v>2</v>
      </c>
      <c r="C53" s="217">
        <v>3</v>
      </c>
      <c r="D53" s="152">
        <v>4</v>
      </c>
      <c r="E53" s="152">
        <v>5</v>
      </c>
      <c r="F53" s="152">
        <v>6</v>
      </c>
      <c r="G53" s="152">
        <v>7</v>
      </c>
      <c r="H53" s="152">
        <v>8</v>
      </c>
      <c r="I53" s="152">
        <v>9</v>
      </c>
      <c r="J53" s="152">
        <v>10</v>
      </c>
      <c r="K53" s="152">
        <v>11</v>
      </c>
    </row>
    <row r="54" spans="1:11" s="158" customFormat="1" ht="15" customHeight="1">
      <c r="A54" s="155" t="s">
        <v>260</v>
      </c>
      <c r="B54" s="156" t="s">
        <v>684</v>
      </c>
      <c r="C54" s="157">
        <v>1</v>
      </c>
      <c r="D54" s="157">
        <f>E54+F54+G54</f>
        <v>289.85</v>
      </c>
      <c r="E54" s="157"/>
      <c r="F54" s="157"/>
      <c r="G54" s="157">
        <v>289.85</v>
      </c>
      <c r="H54" s="157"/>
      <c r="I54" s="157">
        <f>(D54*C54+E54*(H54/100))*1.3</f>
        <v>376.80500000000006</v>
      </c>
      <c r="J54" s="157"/>
      <c r="K54" s="157">
        <f>(C54*D54+E54*C54*(H54/100)+I54)*12+J54+0.14</f>
        <v>8000.000000000001</v>
      </c>
    </row>
    <row r="55" spans="1:11" s="158" customFormat="1" ht="15" customHeight="1">
      <c r="A55" s="155" t="s">
        <v>262</v>
      </c>
      <c r="B55" s="156" t="s">
        <v>683</v>
      </c>
      <c r="C55" s="157"/>
      <c r="D55" s="157">
        <f>E55+F55+G55</f>
        <v>0</v>
      </c>
      <c r="E55" s="157"/>
      <c r="F55" s="157"/>
      <c r="G55" s="157">
        <f>E55*0.798</f>
        <v>0</v>
      </c>
      <c r="H55" s="157"/>
      <c r="I55" s="157">
        <f>(D55*C55+E55*(H55/100))*1.3</f>
        <v>0</v>
      </c>
      <c r="J55" s="157"/>
      <c r="K55" s="157">
        <f>591000-140796</f>
        <v>450204</v>
      </c>
    </row>
    <row r="56" spans="1:11" ht="18.75" customHeight="1">
      <c r="A56" s="166" t="s">
        <v>287</v>
      </c>
      <c r="B56" s="167"/>
      <c r="C56" s="157" t="s">
        <v>28</v>
      </c>
      <c r="D56" s="168"/>
      <c r="E56" s="168" t="s">
        <v>28</v>
      </c>
      <c r="F56" s="168" t="s">
        <v>28</v>
      </c>
      <c r="G56" s="168" t="s">
        <v>28</v>
      </c>
      <c r="H56" s="168" t="s">
        <v>28</v>
      </c>
      <c r="I56" s="168" t="s">
        <v>28</v>
      </c>
      <c r="J56" s="169">
        <f>SUM(J38:J55)</f>
        <v>10</v>
      </c>
      <c r="K56" s="169">
        <f>SUM(K54:K55)</f>
        <v>458204</v>
      </c>
    </row>
  </sheetData>
  <sheetProtection/>
  <mergeCells count="26">
    <mergeCell ref="A50:A52"/>
    <mergeCell ref="B50:B52"/>
    <mergeCell ref="C50:C52"/>
    <mergeCell ref="D50:G50"/>
    <mergeCell ref="J50:J52"/>
    <mergeCell ref="K50:K52"/>
    <mergeCell ref="D51:D52"/>
    <mergeCell ref="E51:G51"/>
    <mergeCell ref="H50:H52"/>
    <mergeCell ref="I50:I52"/>
    <mergeCell ref="H14:H16"/>
    <mergeCell ref="J14:J16"/>
    <mergeCell ref="K14:K16"/>
    <mergeCell ref="D15:D16"/>
    <mergeCell ref="E15:G15"/>
    <mergeCell ref="D14:G14"/>
    <mergeCell ref="A48:K48"/>
    <mergeCell ref="A12:K12"/>
    <mergeCell ref="A14:A16"/>
    <mergeCell ref="H2:K2"/>
    <mergeCell ref="H3:K3"/>
    <mergeCell ref="A5:K5"/>
    <mergeCell ref="A6:K6"/>
    <mergeCell ref="I14:I16"/>
    <mergeCell ref="B14:B16"/>
    <mergeCell ref="C14:C16"/>
  </mergeCells>
  <printOptions/>
  <pageMargins left="0.7086614173228347" right="0.1968503937007874" top="0.7480314960629921" bottom="0.5511811023622047" header="0.31496062992125984" footer="0.31496062992125984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0"/>
  <sheetViews>
    <sheetView zoomScale="80" zoomScaleNormal="80" zoomScalePageLayoutView="0" workbookViewId="0" topLeftCell="A1">
      <selection activeCell="F473" sqref="F473"/>
    </sheetView>
  </sheetViews>
  <sheetFormatPr defaultColWidth="0.875" defaultRowHeight="12.75"/>
  <cols>
    <col min="1" max="1" width="5.75390625" style="143" customWidth="1"/>
    <col min="2" max="2" width="62.25390625" style="143" customWidth="1"/>
    <col min="3" max="3" width="25.125" style="143" customWidth="1"/>
    <col min="4" max="4" width="16.25390625" style="143" customWidth="1"/>
    <col min="5" max="5" width="14.25390625" style="143" customWidth="1"/>
    <col min="6" max="6" width="18.125" style="143" customWidth="1"/>
    <col min="7" max="7" width="17.125" style="143" hidden="1" customWidth="1"/>
    <col min="8" max="8" width="15.625" style="143" hidden="1" customWidth="1"/>
    <col min="9" max="9" width="19.25390625" style="143" hidden="1" customWidth="1"/>
    <col min="10" max="10" width="16.875" style="143" hidden="1" customWidth="1"/>
    <col min="11" max="11" width="14.25390625" style="143" hidden="1" customWidth="1"/>
    <col min="12" max="16" width="15.625" style="143" hidden="1" customWidth="1"/>
    <col min="17" max="18" width="15.625" style="143" customWidth="1"/>
    <col min="19" max="16384" width="0.875" style="143" customWidth="1"/>
  </cols>
  <sheetData>
    <row r="1" spans="8:11" ht="27.75" customHeight="1">
      <c r="H1" s="222">
        <f>I2-H2</f>
        <v>21988116.001542255</v>
      </c>
      <c r="I1" s="143" t="s">
        <v>222</v>
      </c>
      <c r="K1" s="143" t="s">
        <v>691</v>
      </c>
    </row>
    <row r="2" spans="1:12" s="144" customFormat="1" ht="15">
      <c r="A2" s="144" t="s">
        <v>246</v>
      </c>
      <c r="C2" s="178" t="s">
        <v>366</v>
      </c>
      <c r="D2" s="178"/>
      <c r="E2" s="178"/>
      <c r="F2" s="178"/>
      <c r="G2" s="248">
        <f>F13+F29+F45</f>
        <v>86400</v>
      </c>
      <c r="H2" s="192">
        <f>G2+G48+G77</f>
        <v>334500</v>
      </c>
      <c r="I2" s="145">
        <f>H2+H89+'Расчеты п.1'!K36+'Расчеты п.1'!K56</f>
        <v>22322616.001542255</v>
      </c>
      <c r="J2" s="249">
        <f>'2.2.2017'!D52-I2</f>
        <v>-0.0015422552824020386</v>
      </c>
      <c r="K2" s="145">
        <f>I2+F149+H155+H188+H211</f>
        <v>25824933.741542254</v>
      </c>
      <c r="L2" s="249">
        <f>'2.2.2017'!D32-K2</f>
        <v>-0.0015422515571117401</v>
      </c>
    </row>
    <row r="3" spans="3:7" s="144" customFormat="1" ht="6" customHeight="1">
      <c r="C3" s="180"/>
      <c r="D3" s="180"/>
      <c r="E3" s="180"/>
      <c r="F3" s="180"/>
      <c r="G3" s="143"/>
    </row>
    <row r="4" spans="1:9" s="144" customFormat="1" ht="15">
      <c r="A4" s="144" t="s">
        <v>247</v>
      </c>
      <c r="C4" s="351" t="s">
        <v>367</v>
      </c>
      <c r="D4" s="351"/>
      <c r="E4" s="351"/>
      <c r="F4" s="351"/>
      <c r="G4" s="143"/>
      <c r="I4" s="145">
        <f>I2-H2</f>
        <v>21988116.001542255</v>
      </c>
    </row>
    <row r="5" s="144" customFormat="1" ht="15">
      <c r="G5" s="143"/>
    </row>
    <row r="6" spans="1:9" s="144" customFormat="1" ht="15">
      <c r="A6" s="318" t="s">
        <v>288</v>
      </c>
      <c r="B6" s="318"/>
      <c r="C6" s="318"/>
      <c r="D6" s="318"/>
      <c r="E6" s="318"/>
      <c r="F6" s="318"/>
      <c r="G6" s="143"/>
      <c r="I6" s="266">
        <f>'2.2.2017'!D54</f>
        <v>21391723</v>
      </c>
    </row>
    <row r="7" ht="10.5" customHeight="1"/>
    <row r="8" spans="1:9" s="151" customFormat="1" ht="42" customHeight="1">
      <c r="A8" s="150" t="s">
        <v>249</v>
      </c>
      <c r="B8" s="150" t="s">
        <v>289</v>
      </c>
      <c r="C8" s="184" t="s">
        <v>290</v>
      </c>
      <c r="D8" s="184" t="s">
        <v>291</v>
      </c>
      <c r="E8" s="184" t="s">
        <v>292</v>
      </c>
      <c r="F8" s="184" t="s">
        <v>293</v>
      </c>
      <c r="I8" s="267">
        <f>I6-I4</f>
        <v>-596393.0015422553</v>
      </c>
    </row>
    <row r="9" spans="1:9" s="154" customFormat="1" ht="12.75">
      <c r="A9" s="152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I9" s="268"/>
    </row>
    <row r="10" spans="1:7" s="158" customFormat="1" ht="15" customHeight="1">
      <c r="A10" s="155" t="s">
        <v>260</v>
      </c>
      <c r="B10" s="170" t="s">
        <v>368</v>
      </c>
      <c r="C10" s="168">
        <v>200</v>
      </c>
      <c r="D10" s="182">
        <f>G10/E10/C10</f>
        <v>9.25</v>
      </c>
      <c r="E10" s="182">
        <v>8</v>
      </c>
      <c r="F10" s="183">
        <f>ROUND(C10*D10*E10,0)</f>
        <v>14800</v>
      </c>
      <c r="G10" s="250">
        <f>7200+7600</f>
        <v>14800</v>
      </c>
    </row>
    <row r="11" spans="1:7" s="158" customFormat="1" ht="25.5">
      <c r="A11" s="155" t="s">
        <v>262</v>
      </c>
      <c r="B11" s="170" t="s">
        <v>369</v>
      </c>
      <c r="C11" s="182">
        <v>350</v>
      </c>
      <c r="D11" s="182">
        <f>G11/C11/E11</f>
        <v>45.142857142857146</v>
      </c>
      <c r="E11" s="168">
        <v>2</v>
      </c>
      <c r="F11" s="183">
        <f>ROUND(C11*D11*E11,0)</f>
        <v>31600</v>
      </c>
      <c r="G11" s="158">
        <v>31600</v>
      </c>
    </row>
    <row r="12" spans="1:7" s="158" customFormat="1" ht="12.75">
      <c r="A12" s="155" t="s">
        <v>264</v>
      </c>
      <c r="B12" s="170" t="s">
        <v>370</v>
      </c>
      <c r="C12" s="182">
        <f>G12/E12/D12</f>
        <v>200</v>
      </c>
      <c r="D12" s="182">
        <v>10</v>
      </c>
      <c r="E12" s="168">
        <v>10</v>
      </c>
      <c r="F12" s="183">
        <f>ROUND(C12*D12*E12,0)</f>
        <v>20000</v>
      </c>
      <c r="G12" s="250">
        <f>26700-800-5900</f>
        <v>20000</v>
      </c>
    </row>
    <row r="13" spans="1:6" s="158" customFormat="1" ht="15" customHeight="1">
      <c r="A13" s="155"/>
      <c r="B13" s="167" t="s">
        <v>287</v>
      </c>
      <c r="C13" s="168" t="s">
        <v>28</v>
      </c>
      <c r="D13" s="168" t="s">
        <v>28</v>
      </c>
      <c r="E13" s="168" t="s">
        <v>28</v>
      </c>
      <c r="F13" s="157">
        <f>SUM(F10:F12)</f>
        <v>66400</v>
      </c>
    </row>
    <row r="14" ht="12" customHeight="1"/>
    <row r="15" spans="1:7" s="144" customFormat="1" ht="45" customHeight="1" hidden="1">
      <c r="A15" s="336" t="s">
        <v>371</v>
      </c>
      <c r="B15" s="318"/>
      <c r="C15" s="318"/>
      <c r="D15" s="318"/>
      <c r="E15" s="318"/>
      <c r="F15" s="318"/>
      <c r="G15" s="143"/>
    </row>
    <row r="16" ht="10.5" customHeight="1" hidden="1"/>
    <row r="17" spans="1:6" s="151" customFormat="1" ht="55.5" customHeight="1" hidden="1">
      <c r="A17" s="150" t="s">
        <v>249</v>
      </c>
      <c r="B17" s="150" t="s">
        <v>289</v>
      </c>
      <c r="C17" s="150" t="s">
        <v>294</v>
      </c>
      <c r="D17" s="150" t="s">
        <v>295</v>
      </c>
      <c r="E17" s="150" t="s">
        <v>296</v>
      </c>
      <c r="F17" s="150" t="s">
        <v>293</v>
      </c>
    </row>
    <row r="18" spans="1:6" s="154" customFormat="1" ht="12.75" hidden="1">
      <c r="A18" s="152">
        <v>1</v>
      </c>
      <c r="B18" s="152">
        <v>2</v>
      </c>
      <c r="C18" s="152">
        <v>3</v>
      </c>
      <c r="D18" s="152">
        <v>4</v>
      </c>
      <c r="E18" s="152">
        <v>5</v>
      </c>
      <c r="F18" s="152">
        <v>6</v>
      </c>
    </row>
    <row r="19" spans="1:6" s="158" customFormat="1" ht="15" customHeight="1" hidden="1">
      <c r="A19" s="155"/>
      <c r="B19" s="170"/>
      <c r="C19" s="168"/>
      <c r="D19" s="168"/>
      <c r="E19" s="168"/>
      <c r="F19" s="168"/>
    </row>
    <row r="20" spans="1:6" s="158" customFormat="1" ht="15" customHeight="1" hidden="1">
      <c r="A20" s="155"/>
      <c r="B20" s="170"/>
      <c r="C20" s="168"/>
      <c r="D20" s="168"/>
      <c r="E20" s="168"/>
      <c r="F20" s="168"/>
    </row>
    <row r="21" spans="1:6" s="158" customFormat="1" ht="15" customHeight="1" hidden="1">
      <c r="A21" s="155"/>
      <c r="B21" s="167" t="s">
        <v>287</v>
      </c>
      <c r="C21" s="168" t="s">
        <v>28</v>
      </c>
      <c r="D21" s="168" t="s">
        <v>28</v>
      </c>
      <c r="E21" s="168" t="s">
        <v>28</v>
      </c>
      <c r="F21" s="168"/>
    </row>
    <row r="22" ht="12" customHeight="1" hidden="1"/>
    <row r="23" spans="1:7" s="144" customFormat="1" ht="15">
      <c r="A23" s="336" t="s">
        <v>733</v>
      </c>
      <c r="B23" s="318"/>
      <c r="C23" s="318"/>
      <c r="D23" s="318"/>
      <c r="E23" s="318"/>
      <c r="F23" s="318"/>
      <c r="G23" s="143"/>
    </row>
    <row r="24" ht="10.5" customHeight="1"/>
    <row r="25" spans="1:6" s="151" customFormat="1" ht="55.5" customHeight="1">
      <c r="A25" s="150" t="s">
        <v>249</v>
      </c>
      <c r="B25" s="328" t="s">
        <v>289</v>
      </c>
      <c r="C25" s="328"/>
      <c r="D25" s="184" t="s">
        <v>372</v>
      </c>
      <c r="E25" s="184" t="s">
        <v>373</v>
      </c>
      <c r="F25" s="150" t="s">
        <v>374</v>
      </c>
    </row>
    <row r="26" spans="1:6" s="154" customFormat="1" ht="12.75">
      <c r="A26" s="152">
        <v>1</v>
      </c>
      <c r="B26" s="328">
        <v>2</v>
      </c>
      <c r="C26" s="328"/>
      <c r="D26" s="152">
        <v>3</v>
      </c>
      <c r="E26" s="152">
        <v>4</v>
      </c>
      <c r="F26" s="152">
        <v>5</v>
      </c>
    </row>
    <row r="27" spans="1:7" s="158" customFormat="1" ht="15" customHeight="1">
      <c r="A27" s="155" t="s">
        <v>260</v>
      </c>
      <c r="B27" s="337" t="s">
        <v>375</v>
      </c>
      <c r="C27" s="339"/>
      <c r="D27" s="168">
        <v>3</v>
      </c>
      <c r="E27" s="187">
        <f>G27/D27</f>
        <v>6067.333333333333</v>
      </c>
      <c r="F27" s="183">
        <f>ROUND(D27*E27,0)</f>
        <v>18202</v>
      </c>
      <c r="G27" s="251">
        <f>20000-F45</f>
        <v>18202</v>
      </c>
    </row>
    <row r="28" spans="1:6" s="158" customFormat="1" ht="15" customHeight="1" hidden="1">
      <c r="A28" s="155"/>
      <c r="B28" s="328"/>
      <c r="C28" s="328"/>
      <c r="D28" s="168"/>
      <c r="E28" s="168"/>
      <c r="F28" s="183">
        <f>ROUND(D28*E28,0)</f>
        <v>0</v>
      </c>
    </row>
    <row r="29" spans="1:6" s="158" customFormat="1" ht="15" customHeight="1">
      <c r="A29" s="155"/>
      <c r="B29" s="335" t="s">
        <v>287</v>
      </c>
      <c r="C29" s="335"/>
      <c r="D29" s="168" t="s">
        <v>28</v>
      </c>
      <c r="E29" s="168" t="s">
        <v>28</v>
      </c>
      <c r="F29" s="157">
        <f>SUM(F27:F28)</f>
        <v>18202</v>
      </c>
    </row>
    <row r="30" ht="12" customHeight="1"/>
    <row r="31" spans="1:7" s="144" customFormat="1" ht="37.5" customHeight="1" hidden="1">
      <c r="A31" s="353" t="s">
        <v>376</v>
      </c>
      <c r="B31" s="354"/>
      <c r="C31" s="354"/>
      <c r="D31" s="354"/>
      <c r="E31" s="354"/>
      <c r="F31" s="354"/>
      <c r="G31" s="143"/>
    </row>
    <row r="32" ht="10.5" customHeight="1" hidden="1"/>
    <row r="33" spans="1:6" s="151" customFormat="1" ht="55.5" customHeight="1" hidden="1">
      <c r="A33" s="150" t="s">
        <v>249</v>
      </c>
      <c r="B33" s="150" t="s">
        <v>289</v>
      </c>
      <c r="C33" s="150" t="s">
        <v>294</v>
      </c>
      <c r="D33" s="150" t="s">
        <v>295</v>
      </c>
      <c r="E33" s="150" t="s">
        <v>296</v>
      </c>
      <c r="F33" s="150" t="s">
        <v>293</v>
      </c>
    </row>
    <row r="34" spans="1:6" s="154" customFormat="1" ht="12.75" hidden="1">
      <c r="A34" s="152">
        <v>1</v>
      </c>
      <c r="B34" s="152">
        <v>2</v>
      </c>
      <c r="C34" s="152">
        <v>3</v>
      </c>
      <c r="D34" s="152">
        <v>4</v>
      </c>
      <c r="E34" s="152">
        <v>5</v>
      </c>
      <c r="F34" s="152">
        <v>6</v>
      </c>
    </row>
    <row r="35" spans="1:6" s="158" customFormat="1" ht="15" customHeight="1" hidden="1">
      <c r="A35" s="155"/>
      <c r="B35" s="170"/>
      <c r="C35" s="168"/>
      <c r="D35" s="168"/>
      <c r="E35" s="168"/>
      <c r="F35" s="168"/>
    </row>
    <row r="36" spans="1:6" s="158" customFormat="1" ht="15" customHeight="1" hidden="1">
      <c r="A36" s="155"/>
      <c r="B36" s="170"/>
      <c r="C36" s="168"/>
      <c r="D36" s="168"/>
      <c r="E36" s="168"/>
      <c r="F36" s="168"/>
    </row>
    <row r="37" spans="1:6" s="158" customFormat="1" ht="15" customHeight="1" hidden="1">
      <c r="A37" s="155"/>
      <c r="B37" s="167" t="s">
        <v>287</v>
      </c>
      <c r="C37" s="168" t="s">
        <v>28</v>
      </c>
      <c r="D37" s="168" t="s">
        <v>28</v>
      </c>
      <c r="E37" s="168" t="s">
        <v>28</v>
      </c>
      <c r="F37" s="168"/>
    </row>
    <row r="38" ht="12" customHeight="1" hidden="1"/>
    <row r="39" spans="1:7" s="144" customFormat="1" ht="15">
      <c r="A39" s="318" t="s">
        <v>377</v>
      </c>
      <c r="B39" s="318"/>
      <c r="C39" s="318"/>
      <c r="D39" s="318"/>
      <c r="E39" s="318"/>
      <c r="F39" s="318"/>
      <c r="G39" s="143"/>
    </row>
    <row r="40" ht="10.5" customHeight="1"/>
    <row r="41" spans="1:6" s="151" customFormat="1" ht="55.5" customHeight="1">
      <c r="A41" s="150" t="s">
        <v>249</v>
      </c>
      <c r="B41" s="150" t="s">
        <v>289</v>
      </c>
      <c r="C41" s="150" t="s">
        <v>294</v>
      </c>
      <c r="D41" s="150" t="s">
        <v>295</v>
      </c>
      <c r="E41" s="150" t="s">
        <v>296</v>
      </c>
      <c r="F41" s="150" t="s">
        <v>293</v>
      </c>
    </row>
    <row r="42" spans="1:6" s="154" customFormat="1" ht="12.75">
      <c r="A42" s="152">
        <v>1</v>
      </c>
      <c r="B42" s="152">
        <v>2</v>
      </c>
      <c r="C42" s="152">
        <v>3</v>
      </c>
      <c r="D42" s="152">
        <v>4</v>
      </c>
      <c r="E42" s="152">
        <v>5</v>
      </c>
      <c r="F42" s="152">
        <v>6</v>
      </c>
    </row>
    <row r="43" spans="1:6" s="158" customFormat="1" ht="15" customHeight="1">
      <c r="A43" s="155"/>
      <c r="B43" s="170" t="s">
        <v>378</v>
      </c>
      <c r="C43" s="182">
        <v>2</v>
      </c>
      <c r="D43" s="168">
        <v>12</v>
      </c>
      <c r="E43" s="168">
        <v>75</v>
      </c>
      <c r="F43" s="183">
        <f>ROUND(C43*D43*E43,0)-2</f>
        <v>1798</v>
      </c>
    </row>
    <row r="44" spans="1:6" s="158" customFormat="1" ht="15" customHeight="1" hidden="1">
      <c r="A44" s="155"/>
      <c r="B44" s="170"/>
      <c r="C44" s="168"/>
      <c r="D44" s="168"/>
      <c r="E44" s="168"/>
      <c r="F44" s="183">
        <f>ROUND(C44*D44*E44,0)</f>
        <v>0</v>
      </c>
    </row>
    <row r="45" spans="1:6" s="158" customFormat="1" ht="15" customHeight="1">
      <c r="A45" s="155"/>
      <c r="B45" s="167" t="s">
        <v>287</v>
      </c>
      <c r="C45" s="168" t="s">
        <v>28</v>
      </c>
      <c r="D45" s="168" t="s">
        <v>28</v>
      </c>
      <c r="E45" s="168" t="s">
        <v>28</v>
      </c>
      <c r="F45" s="157">
        <f>SUM(F43:F44)</f>
        <v>1798</v>
      </c>
    </row>
    <row r="46" ht="9.75" customHeight="1">
      <c r="G46" s="179">
        <f>F13+F29+F45</f>
        <v>86400</v>
      </c>
    </row>
    <row r="47" ht="12" customHeight="1" hidden="1"/>
    <row r="48" spans="1:7" s="144" customFormat="1" ht="15">
      <c r="A48" s="144" t="s">
        <v>246</v>
      </c>
      <c r="C48" s="189" t="s">
        <v>366</v>
      </c>
      <c r="D48" s="146"/>
      <c r="E48" s="146"/>
      <c r="F48" s="146"/>
      <c r="G48" s="179">
        <f>F67+F75</f>
        <v>248100</v>
      </c>
    </row>
    <row r="49" spans="3:7" s="144" customFormat="1" ht="6" customHeight="1">
      <c r="C49" s="147"/>
      <c r="D49" s="147"/>
      <c r="E49" s="147"/>
      <c r="F49" s="147"/>
      <c r="G49" s="143"/>
    </row>
    <row r="50" spans="1:7" s="144" customFormat="1" ht="15">
      <c r="A50" s="144" t="s">
        <v>247</v>
      </c>
      <c r="C50" s="344" t="s">
        <v>380</v>
      </c>
      <c r="D50" s="344"/>
      <c r="E50" s="344"/>
      <c r="F50" s="344"/>
      <c r="G50" s="143"/>
    </row>
    <row r="51" ht="10.5" customHeight="1"/>
    <row r="52" spans="1:7" s="144" customFormat="1" ht="15" hidden="1">
      <c r="A52" s="318" t="s">
        <v>288</v>
      </c>
      <c r="B52" s="318"/>
      <c r="C52" s="318"/>
      <c r="D52" s="318"/>
      <c r="E52" s="318"/>
      <c r="F52" s="318"/>
      <c r="G52" s="143"/>
    </row>
    <row r="53" ht="10.5" customHeight="1" hidden="1"/>
    <row r="54" spans="1:6" s="151" customFormat="1" ht="54" customHeight="1" hidden="1">
      <c r="A54" s="150" t="s">
        <v>249</v>
      </c>
      <c r="B54" s="150" t="s">
        <v>289</v>
      </c>
      <c r="C54" s="181" t="s">
        <v>290</v>
      </c>
      <c r="D54" s="150" t="s">
        <v>291</v>
      </c>
      <c r="E54" s="150" t="s">
        <v>292</v>
      </c>
      <c r="F54" s="150" t="s">
        <v>293</v>
      </c>
    </row>
    <row r="55" spans="1:6" s="154" customFormat="1" ht="12.75" hidden="1">
      <c r="A55" s="152">
        <v>1</v>
      </c>
      <c r="B55" s="152">
        <v>2</v>
      </c>
      <c r="C55" s="152">
        <v>3</v>
      </c>
      <c r="D55" s="152">
        <v>4</v>
      </c>
      <c r="E55" s="152">
        <v>5</v>
      </c>
      <c r="F55" s="152">
        <v>6</v>
      </c>
    </row>
    <row r="56" spans="1:6" s="158" customFormat="1" ht="15" customHeight="1" hidden="1">
      <c r="A56" s="155" t="s">
        <v>260</v>
      </c>
      <c r="B56" s="170" t="s">
        <v>368</v>
      </c>
      <c r="C56" s="168"/>
      <c r="D56" s="182"/>
      <c r="E56" s="182"/>
      <c r="F56" s="183">
        <f>ROUND(C56*D56*E56,0)</f>
        <v>0</v>
      </c>
    </row>
    <row r="57" spans="1:6" s="158" customFormat="1" ht="45" customHeight="1" hidden="1">
      <c r="A57" s="155" t="s">
        <v>262</v>
      </c>
      <c r="B57" s="170" t="s">
        <v>369</v>
      </c>
      <c r="C57" s="182"/>
      <c r="D57" s="182"/>
      <c r="E57" s="168"/>
      <c r="F57" s="183">
        <f>ROUND(C57*D57*E57,0)</f>
        <v>0</v>
      </c>
    </row>
    <row r="58" spans="1:6" s="158" customFormat="1" ht="29.25" customHeight="1" hidden="1">
      <c r="A58" s="155" t="s">
        <v>264</v>
      </c>
      <c r="B58" s="170" t="s">
        <v>370</v>
      </c>
      <c r="C58" s="182"/>
      <c r="D58" s="168"/>
      <c r="E58" s="168"/>
      <c r="F58" s="183">
        <f>ROUND(C58*D58*E58,0)</f>
        <v>0</v>
      </c>
    </row>
    <row r="59" spans="1:6" s="158" customFormat="1" ht="15" customHeight="1" hidden="1">
      <c r="A59" s="155"/>
      <c r="B59" s="167" t="s">
        <v>287</v>
      </c>
      <c r="C59" s="168" t="s">
        <v>28</v>
      </c>
      <c r="D59" s="168" t="s">
        <v>28</v>
      </c>
      <c r="E59" s="168" t="s">
        <v>28</v>
      </c>
      <c r="F59" s="183">
        <f>SUM(F56:F58)</f>
        <v>0</v>
      </c>
    </row>
    <row r="60" ht="12" customHeight="1" hidden="1"/>
    <row r="61" spans="1:7" s="144" customFormat="1" ht="27.75" customHeight="1">
      <c r="A61" s="336" t="s">
        <v>734</v>
      </c>
      <c r="B61" s="318"/>
      <c r="C61" s="318"/>
      <c r="D61" s="318"/>
      <c r="E61" s="318"/>
      <c r="F61" s="318"/>
      <c r="G61" s="143"/>
    </row>
    <row r="62" ht="10.5" customHeight="1"/>
    <row r="63" spans="1:6" s="151" customFormat="1" ht="55.5" customHeight="1">
      <c r="A63" s="150" t="s">
        <v>249</v>
      </c>
      <c r="B63" s="328" t="s">
        <v>289</v>
      </c>
      <c r="C63" s="328"/>
      <c r="D63" s="181" t="s">
        <v>381</v>
      </c>
      <c r="E63" s="150" t="s">
        <v>382</v>
      </c>
      <c r="F63" s="150" t="s">
        <v>374</v>
      </c>
    </row>
    <row r="64" spans="1:6" s="154" customFormat="1" ht="12.75">
      <c r="A64" s="152">
        <v>1</v>
      </c>
      <c r="B64" s="328">
        <v>2</v>
      </c>
      <c r="C64" s="328"/>
      <c r="D64" s="152">
        <v>3</v>
      </c>
      <c r="E64" s="152">
        <v>4</v>
      </c>
      <c r="F64" s="152">
        <v>5</v>
      </c>
    </row>
    <row r="65" spans="1:7" s="158" customFormat="1" ht="38.25" customHeight="1">
      <c r="A65" s="155"/>
      <c r="B65" s="337" t="s">
        <v>383</v>
      </c>
      <c r="C65" s="339"/>
      <c r="D65" s="182">
        <f>G65/E65</f>
        <v>15.50625</v>
      </c>
      <c r="E65" s="168">
        <v>16000</v>
      </c>
      <c r="F65" s="183">
        <f>ROUND(D65*E65,0)</f>
        <v>248100</v>
      </c>
      <c r="G65" s="250">
        <f>248100</f>
        <v>248100</v>
      </c>
    </row>
    <row r="66" spans="1:6" s="158" customFormat="1" ht="12.75" hidden="1">
      <c r="A66" s="155"/>
      <c r="B66" s="355" t="s">
        <v>726</v>
      </c>
      <c r="C66" s="356"/>
      <c r="D66" s="168"/>
      <c r="E66" s="168"/>
      <c r="F66" s="183"/>
    </row>
    <row r="67" spans="1:6" s="158" customFormat="1" ht="15" customHeight="1">
      <c r="A67" s="155"/>
      <c r="B67" s="335" t="s">
        <v>287</v>
      </c>
      <c r="C67" s="335"/>
      <c r="D67" s="168" t="s">
        <v>28</v>
      </c>
      <c r="E67" s="168" t="s">
        <v>28</v>
      </c>
      <c r="F67" s="157">
        <f>SUM(F65:F66)</f>
        <v>248100</v>
      </c>
    </row>
    <row r="68" ht="12" customHeight="1"/>
    <row r="69" spans="1:7" s="144" customFormat="1" ht="37.5" customHeight="1" hidden="1">
      <c r="A69" s="353" t="s">
        <v>376</v>
      </c>
      <c r="B69" s="354"/>
      <c r="C69" s="354"/>
      <c r="D69" s="354"/>
      <c r="E69" s="354"/>
      <c r="F69" s="354"/>
      <c r="G69" s="143"/>
    </row>
    <row r="70" ht="10.5" customHeight="1" hidden="1"/>
    <row r="71" spans="1:6" s="151" customFormat="1" ht="55.5" customHeight="1" hidden="1">
      <c r="A71" s="150" t="s">
        <v>249</v>
      </c>
      <c r="B71" s="328" t="s">
        <v>289</v>
      </c>
      <c r="C71" s="328"/>
      <c r="D71" s="184" t="s">
        <v>384</v>
      </c>
      <c r="E71" s="184" t="s">
        <v>385</v>
      </c>
      <c r="F71" s="150" t="s">
        <v>374</v>
      </c>
    </row>
    <row r="72" spans="1:6" s="154" customFormat="1" ht="12.75" hidden="1">
      <c r="A72" s="152">
        <v>1</v>
      </c>
      <c r="B72" s="328">
        <v>2</v>
      </c>
      <c r="C72" s="328"/>
      <c r="D72" s="152">
        <v>3</v>
      </c>
      <c r="E72" s="152">
        <v>4</v>
      </c>
      <c r="F72" s="152">
        <v>5</v>
      </c>
    </row>
    <row r="73" spans="1:6" s="158" customFormat="1" ht="15" customHeight="1" hidden="1">
      <c r="A73" s="155"/>
      <c r="B73" s="328"/>
      <c r="C73" s="328"/>
      <c r="D73" s="168"/>
      <c r="E73" s="168"/>
      <c r="F73" s="183">
        <f>ROUND(D73*E73,0)</f>
        <v>0</v>
      </c>
    </row>
    <row r="74" spans="1:6" s="158" customFormat="1" ht="15" customHeight="1" hidden="1">
      <c r="A74" s="155"/>
      <c r="B74" s="328"/>
      <c r="C74" s="328"/>
      <c r="D74" s="168"/>
      <c r="E74" s="168"/>
      <c r="F74" s="183">
        <f>ROUND(D74*E74,0)</f>
        <v>0</v>
      </c>
    </row>
    <row r="75" spans="1:6" s="158" customFormat="1" ht="15" customHeight="1" hidden="1">
      <c r="A75" s="155"/>
      <c r="B75" s="335" t="s">
        <v>287</v>
      </c>
      <c r="C75" s="335"/>
      <c r="D75" s="168" t="s">
        <v>28</v>
      </c>
      <c r="E75" s="168" t="s">
        <v>28</v>
      </c>
      <c r="F75" s="183">
        <f>SUM(F73:F74)</f>
        <v>0</v>
      </c>
    </row>
    <row r="76" ht="12" customHeight="1" hidden="1"/>
    <row r="77" spans="1:7" s="144" customFormat="1" ht="15" hidden="1">
      <c r="A77" s="144" t="s">
        <v>246</v>
      </c>
      <c r="C77" s="190" t="s">
        <v>366</v>
      </c>
      <c r="D77" s="146"/>
      <c r="E77" s="146"/>
      <c r="F77" s="146"/>
      <c r="G77" s="179">
        <f>F87</f>
        <v>0</v>
      </c>
    </row>
    <row r="78" spans="3:7" s="144" customFormat="1" ht="6" customHeight="1" hidden="1">
      <c r="C78" s="147"/>
      <c r="D78" s="147"/>
      <c r="E78" s="147"/>
      <c r="F78" s="147"/>
      <c r="G78" s="143"/>
    </row>
    <row r="79" spans="1:7" s="144" customFormat="1" ht="15" hidden="1">
      <c r="A79" s="144" t="s">
        <v>247</v>
      </c>
      <c r="C79" s="332" t="s">
        <v>386</v>
      </c>
      <c r="D79" s="332"/>
      <c r="E79" s="332"/>
      <c r="F79" s="332"/>
      <c r="G79" s="143"/>
    </row>
    <row r="80" spans="1:7" s="144" customFormat="1" ht="15" hidden="1">
      <c r="A80" s="318" t="s">
        <v>288</v>
      </c>
      <c r="B80" s="318"/>
      <c r="C80" s="318"/>
      <c r="D80" s="318"/>
      <c r="E80" s="318"/>
      <c r="F80" s="318"/>
      <c r="G80" s="143"/>
    </row>
    <row r="81" ht="10.5" customHeight="1" hidden="1"/>
    <row r="82" spans="1:6" s="237" customFormat="1" ht="30" customHeight="1" hidden="1">
      <c r="A82" s="184" t="s">
        <v>249</v>
      </c>
      <c r="B82" s="184" t="s">
        <v>289</v>
      </c>
      <c r="C82" s="184" t="s">
        <v>290</v>
      </c>
      <c r="D82" s="184" t="s">
        <v>291</v>
      </c>
      <c r="E82" s="184" t="s">
        <v>292</v>
      </c>
      <c r="F82" s="184" t="s">
        <v>735</v>
      </c>
    </row>
    <row r="83" spans="1:6" s="154" customFormat="1" ht="12.75" hidden="1">
      <c r="A83" s="152">
        <v>1</v>
      </c>
      <c r="B83" s="152">
        <v>2</v>
      </c>
      <c r="C83" s="152">
        <v>3</v>
      </c>
      <c r="D83" s="152">
        <v>4</v>
      </c>
      <c r="E83" s="152">
        <v>5</v>
      </c>
      <c r="F83" s="152">
        <v>6</v>
      </c>
    </row>
    <row r="84" spans="1:6" s="158" customFormat="1" ht="15" customHeight="1" hidden="1">
      <c r="A84" s="155" t="s">
        <v>260</v>
      </c>
      <c r="B84" s="170" t="s">
        <v>368</v>
      </c>
      <c r="C84" s="168">
        <v>200</v>
      </c>
      <c r="D84" s="168"/>
      <c r="E84" s="168"/>
      <c r="F84" s="183">
        <f>ROUND(C84*D84*E84,0)</f>
        <v>0</v>
      </c>
    </row>
    <row r="85" spans="1:6" s="158" customFormat="1" ht="36" customHeight="1" hidden="1">
      <c r="A85" s="155" t="s">
        <v>262</v>
      </c>
      <c r="B85" s="170" t="s">
        <v>369</v>
      </c>
      <c r="C85" s="168"/>
      <c r="D85" s="168"/>
      <c r="E85" s="168"/>
      <c r="F85" s="183">
        <f>ROUND(C85*D85*E85,0)</f>
        <v>0</v>
      </c>
    </row>
    <row r="86" spans="1:6" s="158" customFormat="1" ht="12.75" hidden="1">
      <c r="A86" s="155" t="s">
        <v>264</v>
      </c>
      <c r="B86" s="170" t="s">
        <v>370</v>
      </c>
      <c r="C86" s="168">
        <v>1500</v>
      </c>
      <c r="D86" s="168"/>
      <c r="E86" s="168"/>
      <c r="F86" s="183">
        <f>ROUND(C86*D86*E86,0)</f>
        <v>0</v>
      </c>
    </row>
    <row r="87" spans="1:6" s="158" customFormat="1" ht="15" customHeight="1" hidden="1">
      <c r="A87" s="155"/>
      <c r="B87" s="167" t="s">
        <v>287</v>
      </c>
      <c r="C87" s="168" t="s">
        <v>28</v>
      </c>
      <c r="D87" s="168" t="s">
        <v>28</v>
      </c>
      <c r="E87" s="168" t="s">
        <v>28</v>
      </c>
      <c r="F87" s="183">
        <f>SUM(F84:F86)</f>
        <v>0</v>
      </c>
    </row>
    <row r="88" ht="12" customHeight="1" hidden="1"/>
    <row r="89" spans="1:8" s="144" customFormat="1" ht="15">
      <c r="A89" s="144" t="s">
        <v>246</v>
      </c>
      <c r="C89" s="178" t="s">
        <v>685</v>
      </c>
      <c r="D89" s="178"/>
      <c r="E89" s="178"/>
      <c r="F89" s="178"/>
      <c r="G89" s="179">
        <f>J110</f>
        <v>4938763</v>
      </c>
      <c r="H89" s="145">
        <f>G89+G114</f>
        <v>5076952</v>
      </c>
    </row>
    <row r="90" spans="3:7" s="144" customFormat="1" ht="6" customHeight="1">
      <c r="C90" s="180"/>
      <c r="D90" s="180"/>
      <c r="E90" s="180"/>
      <c r="F90" s="180"/>
      <c r="G90" s="143"/>
    </row>
    <row r="91" spans="1:7" s="144" customFormat="1" ht="15">
      <c r="A91" s="144" t="s">
        <v>247</v>
      </c>
      <c r="C91" s="351" t="s">
        <v>367</v>
      </c>
      <c r="D91" s="351"/>
      <c r="E91" s="351"/>
      <c r="F91" s="351"/>
      <c r="G91" s="143"/>
    </row>
    <row r="92" ht="12" customHeight="1">
      <c r="G92" s="179"/>
    </row>
    <row r="93" spans="1:7" s="144" customFormat="1" ht="33.75" customHeight="1">
      <c r="A93" s="336" t="s">
        <v>379</v>
      </c>
      <c r="B93" s="336"/>
      <c r="C93" s="336"/>
      <c r="D93" s="336"/>
      <c r="E93" s="336"/>
      <c r="F93" s="336"/>
      <c r="G93" s="143"/>
    </row>
    <row r="94" ht="10.5" customHeight="1"/>
    <row r="95" spans="1:12" ht="45">
      <c r="A95" s="150" t="s">
        <v>249</v>
      </c>
      <c r="B95" s="328" t="s">
        <v>297</v>
      </c>
      <c r="C95" s="328"/>
      <c r="D95" s="328"/>
      <c r="E95" s="184" t="s">
        <v>298</v>
      </c>
      <c r="F95" s="150" t="s">
        <v>299</v>
      </c>
      <c r="G95" s="200">
        <v>211</v>
      </c>
      <c r="H95" s="200" t="s">
        <v>449</v>
      </c>
      <c r="I95" s="201" t="s">
        <v>450</v>
      </c>
      <c r="J95" s="200">
        <v>213</v>
      </c>
      <c r="K95" s="200" t="s">
        <v>449</v>
      </c>
      <c r="L95" s="201" t="s">
        <v>450</v>
      </c>
    </row>
    <row r="96" spans="1:6" s="141" customFormat="1" ht="12.75">
      <c r="A96" s="152">
        <v>1</v>
      </c>
      <c r="B96" s="352">
        <v>2</v>
      </c>
      <c r="C96" s="352"/>
      <c r="D96" s="352"/>
      <c r="E96" s="152">
        <v>3</v>
      </c>
      <c r="F96" s="152">
        <v>4</v>
      </c>
    </row>
    <row r="97" spans="1:6" ht="15">
      <c r="A97" s="155" t="s">
        <v>260</v>
      </c>
      <c r="B97" s="335" t="s">
        <v>300</v>
      </c>
      <c r="C97" s="335"/>
      <c r="D97" s="335"/>
      <c r="E97" s="168" t="s">
        <v>28</v>
      </c>
      <c r="F97" s="183">
        <v>3531621</v>
      </c>
    </row>
    <row r="98" spans="1:6" s="141" customFormat="1" ht="12.75">
      <c r="A98" s="155" t="s">
        <v>301</v>
      </c>
      <c r="B98" s="335" t="s">
        <v>26</v>
      </c>
      <c r="C98" s="335"/>
      <c r="D98" s="335"/>
      <c r="E98" s="170"/>
      <c r="F98" s="183"/>
    </row>
    <row r="99" spans="1:6" s="141" customFormat="1" ht="12.75">
      <c r="A99" s="155"/>
      <c r="B99" s="335" t="s">
        <v>302</v>
      </c>
      <c r="C99" s="335"/>
      <c r="D99" s="335"/>
      <c r="E99" s="142">
        <f>16052959.9960178+400000</f>
        <v>16452959.9960178</v>
      </c>
      <c r="F99" s="183">
        <f>3531621+50000</f>
        <v>3581621</v>
      </c>
    </row>
    <row r="100" spans="1:6" s="141" customFormat="1" ht="13.5" customHeight="1">
      <c r="A100" s="155" t="s">
        <v>303</v>
      </c>
      <c r="B100" s="335" t="s">
        <v>304</v>
      </c>
      <c r="C100" s="335"/>
      <c r="D100" s="335"/>
      <c r="E100" s="168"/>
      <c r="F100" s="183"/>
    </row>
    <row r="101" spans="1:6" s="141" customFormat="1" ht="26.25" customHeight="1">
      <c r="A101" s="155" t="s">
        <v>305</v>
      </c>
      <c r="B101" s="335" t="s">
        <v>306</v>
      </c>
      <c r="C101" s="335"/>
      <c r="D101" s="335"/>
      <c r="E101" s="168"/>
      <c r="F101" s="183"/>
    </row>
    <row r="102" spans="1:6" s="141" customFormat="1" ht="12.75">
      <c r="A102" s="155" t="s">
        <v>262</v>
      </c>
      <c r="B102" s="335" t="s">
        <v>307</v>
      </c>
      <c r="C102" s="335"/>
      <c r="D102" s="335"/>
      <c r="E102" s="168" t="s">
        <v>28</v>
      </c>
      <c r="F102" s="183">
        <f>F104+F106</f>
        <v>560041.7598765519</v>
      </c>
    </row>
    <row r="103" spans="1:6" s="141" customFormat="1" ht="12.75">
      <c r="A103" s="155" t="s">
        <v>61</v>
      </c>
      <c r="B103" s="335" t="s">
        <v>26</v>
      </c>
      <c r="C103" s="335"/>
      <c r="D103" s="335"/>
      <c r="E103" s="171"/>
      <c r="F103" s="183"/>
    </row>
    <row r="104" spans="1:6" s="141" customFormat="1" ht="27.75" customHeight="1">
      <c r="A104" s="155"/>
      <c r="B104" s="335" t="s">
        <v>308</v>
      </c>
      <c r="C104" s="335"/>
      <c r="D104" s="335"/>
      <c r="E104" s="142">
        <f>16052959.9960178+400000</f>
        <v>16452959.9960178</v>
      </c>
      <c r="F104" s="183">
        <f>E104*0.029+50000</f>
        <v>527135.8398845163</v>
      </c>
    </row>
    <row r="105" spans="1:6" s="141" customFormat="1" ht="12.75">
      <c r="A105" s="155" t="s">
        <v>62</v>
      </c>
      <c r="B105" s="335" t="s">
        <v>309</v>
      </c>
      <c r="C105" s="335"/>
      <c r="D105" s="335"/>
      <c r="E105" s="168"/>
      <c r="F105" s="183"/>
    </row>
    <row r="106" spans="1:6" s="141" customFormat="1" ht="12.75">
      <c r="A106" s="155" t="s">
        <v>77</v>
      </c>
      <c r="B106" s="335" t="s">
        <v>310</v>
      </c>
      <c r="C106" s="335"/>
      <c r="D106" s="335"/>
      <c r="E106" s="142">
        <f>16052959.9960178+400000</f>
        <v>16452959.9960178</v>
      </c>
      <c r="F106" s="183">
        <f>E106*0.002</f>
        <v>32905.919992035604</v>
      </c>
    </row>
    <row r="107" spans="1:6" s="141" customFormat="1" ht="12.75">
      <c r="A107" s="155" t="s">
        <v>84</v>
      </c>
      <c r="B107" s="335" t="s">
        <v>311</v>
      </c>
      <c r="C107" s="335"/>
      <c r="D107" s="335"/>
      <c r="E107" s="168"/>
      <c r="F107" s="183"/>
    </row>
    <row r="108" spans="1:6" s="141" customFormat="1" ht="27" customHeight="1">
      <c r="A108" s="155" t="s">
        <v>312</v>
      </c>
      <c r="B108" s="335" t="s">
        <v>311</v>
      </c>
      <c r="C108" s="335"/>
      <c r="D108" s="335"/>
      <c r="E108" s="168"/>
      <c r="F108" s="183"/>
    </row>
    <row r="109" spans="1:6" s="141" customFormat="1" ht="12.75">
      <c r="A109" s="155" t="s">
        <v>264</v>
      </c>
      <c r="B109" s="335" t="s">
        <v>313</v>
      </c>
      <c r="C109" s="335"/>
      <c r="D109" s="335"/>
      <c r="E109" s="142">
        <f>16052959.9960178+400000</f>
        <v>16452959.9960178</v>
      </c>
      <c r="F109" s="183">
        <f>E109*0.051+0.28+40799</f>
        <v>879900.2397969078</v>
      </c>
    </row>
    <row r="110" spans="1:12" s="141" customFormat="1" ht="13.5" customHeight="1">
      <c r="A110" s="155"/>
      <c r="B110" s="335" t="s">
        <v>287</v>
      </c>
      <c r="C110" s="335"/>
      <c r="D110" s="335"/>
      <c r="E110" s="168" t="s">
        <v>28</v>
      </c>
      <c r="F110" s="157">
        <f>F109+F102+F97</f>
        <v>4971562.99967346</v>
      </c>
      <c r="G110" s="142">
        <f>16052959.9960178+400000</f>
        <v>16452959.9960178</v>
      </c>
      <c r="H110" s="142"/>
      <c r="I110" s="202">
        <f>G110+H110</f>
        <v>16452959.9960178</v>
      </c>
      <c r="J110" s="142">
        <f>4847964-30001+120800</f>
        <v>4938763</v>
      </c>
      <c r="L110" s="202">
        <f>J110+K110</f>
        <v>4938763</v>
      </c>
    </row>
    <row r="111" ht="14.25" customHeight="1">
      <c r="L111" s="203">
        <f>L110/I110</f>
        <v>0.30017474066644273</v>
      </c>
    </row>
    <row r="112" spans="1:6" s="136" customFormat="1" ht="39.75" customHeight="1">
      <c r="A112" s="358" t="s">
        <v>314</v>
      </c>
      <c r="B112" s="358"/>
      <c r="C112" s="358"/>
      <c r="D112" s="358"/>
      <c r="E112" s="358"/>
      <c r="F112" s="358"/>
    </row>
    <row r="113" spans="1:6" s="136" customFormat="1" ht="12.75">
      <c r="A113" s="218"/>
      <c r="B113" s="218"/>
      <c r="C113" s="218"/>
      <c r="D113" s="218"/>
      <c r="E113" s="218"/>
      <c r="F113" s="218"/>
    </row>
    <row r="114" spans="1:7" s="144" customFormat="1" ht="15">
      <c r="A114" s="144" t="s">
        <v>246</v>
      </c>
      <c r="C114" s="190" t="s">
        <v>685</v>
      </c>
      <c r="D114" s="146"/>
      <c r="E114" s="146"/>
      <c r="F114" s="146"/>
      <c r="G114" s="222">
        <f>F135+F74+F90</f>
        <v>138189</v>
      </c>
    </row>
    <row r="115" spans="3:7" s="144" customFormat="1" ht="6" customHeight="1">
      <c r="C115" s="147"/>
      <c r="D115" s="147"/>
      <c r="E115" s="147"/>
      <c r="F115" s="147"/>
      <c r="G115" s="143"/>
    </row>
    <row r="116" spans="1:7" s="144" customFormat="1" ht="15">
      <c r="A116" s="144" t="s">
        <v>247</v>
      </c>
      <c r="C116" s="332" t="s">
        <v>386</v>
      </c>
      <c r="D116" s="332"/>
      <c r="E116" s="332"/>
      <c r="F116" s="332"/>
      <c r="G116" s="143"/>
    </row>
    <row r="117" ht="12" customHeight="1">
      <c r="G117" s="179"/>
    </row>
    <row r="118" spans="1:7" s="144" customFormat="1" ht="30.75" customHeight="1">
      <c r="A118" s="336" t="s">
        <v>379</v>
      </c>
      <c r="B118" s="336"/>
      <c r="C118" s="336"/>
      <c r="D118" s="336"/>
      <c r="E118" s="336"/>
      <c r="F118" s="336"/>
      <c r="G118" s="143"/>
    </row>
    <row r="119" ht="10.5" customHeight="1"/>
    <row r="120" spans="1:12" ht="70.5" customHeight="1">
      <c r="A120" s="150" t="s">
        <v>249</v>
      </c>
      <c r="B120" s="328" t="s">
        <v>297</v>
      </c>
      <c r="C120" s="328"/>
      <c r="D120" s="328"/>
      <c r="E120" s="150" t="s">
        <v>298</v>
      </c>
      <c r="F120" s="150" t="s">
        <v>299</v>
      </c>
      <c r="L120" s="219" t="s">
        <v>690</v>
      </c>
    </row>
    <row r="121" spans="1:6" s="141" customFormat="1" ht="12.75">
      <c r="A121" s="152">
        <v>1</v>
      </c>
      <c r="B121" s="352">
        <v>2</v>
      </c>
      <c r="C121" s="352"/>
      <c r="D121" s="352"/>
      <c r="E121" s="152">
        <v>3</v>
      </c>
      <c r="F121" s="152">
        <v>4</v>
      </c>
    </row>
    <row r="122" spans="1:13" ht="15">
      <c r="A122" s="155" t="s">
        <v>260</v>
      </c>
      <c r="B122" s="335" t="s">
        <v>300</v>
      </c>
      <c r="C122" s="335"/>
      <c r="D122" s="335"/>
      <c r="E122" s="168" t="s">
        <v>28</v>
      </c>
      <c r="F122" s="168">
        <f>F124</f>
        <v>100668</v>
      </c>
      <c r="L122" s="203">
        <v>0.22</v>
      </c>
      <c r="M122" s="360">
        <f>$I$135*L122*$L$136/30.2%</f>
        <v>100667.48344370861</v>
      </c>
    </row>
    <row r="123" spans="1:13" s="141" customFormat="1" ht="12.75">
      <c r="A123" s="155" t="s">
        <v>301</v>
      </c>
      <c r="B123" s="335" t="s">
        <v>26</v>
      </c>
      <c r="C123" s="335"/>
      <c r="D123" s="335"/>
      <c r="E123" s="170"/>
      <c r="F123" s="170"/>
      <c r="L123" s="220"/>
      <c r="M123" s="361"/>
    </row>
    <row r="124" spans="1:13" s="141" customFormat="1" ht="12.75">
      <c r="A124" s="155"/>
      <c r="B124" s="335" t="s">
        <v>302</v>
      </c>
      <c r="C124" s="335"/>
      <c r="D124" s="335"/>
      <c r="E124" s="150">
        <v>458204</v>
      </c>
      <c r="F124" s="170">
        <v>100668</v>
      </c>
      <c r="L124" s="220"/>
      <c r="M124" s="361"/>
    </row>
    <row r="125" spans="1:13" s="141" customFormat="1" ht="13.5" customHeight="1">
      <c r="A125" s="155" t="s">
        <v>303</v>
      </c>
      <c r="B125" s="335" t="s">
        <v>304</v>
      </c>
      <c r="C125" s="335"/>
      <c r="D125" s="335"/>
      <c r="E125" s="168"/>
      <c r="F125" s="170"/>
      <c r="L125" s="220"/>
      <c r="M125" s="361"/>
    </row>
    <row r="126" spans="1:13" s="141" customFormat="1" ht="26.25" customHeight="1">
      <c r="A126" s="155" t="s">
        <v>305</v>
      </c>
      <c r="B126" s="335" t="s">
        <v>306</v>
      </c>
      <c r="C126" s="335"/>
      <c r="D126" s="335"/>
      <c r="E126" s="168"/>
      <c r="F126" s="170"/>
      <c r="L126" s="220"/>
      <c r="M126" s="361"/>
    </row>
    <row r="127" spans="1:13" s="141" customFormat="1" ht="15">
      <c r="A127" s="155" t="s">
        <v>262</v>
      </c>
      <c r="B127" s="335" t="s">
        <v>307</v>
      </c>
      <c r="C127" s="335"/>
      <c r="D127" s="335"/>
      <c r="E127" s="168" t="s">
        <v>28</v>
      </c>
      <c r="F127" s="168">
        <f>F129+F131</f>
        <v>14185</v>
      </c>
      <c r="L127" s="220">
        <v>0.031</v>
      </c>
      <c r="M127" s="360">
        <f>$I$135*L127*$L$136/30.2%</f>
        <v>14184.96357615894</v>
      </c>
    </row>
    <row r="128" spans="1:13" s="141" customFormat="1" ht="12.75">
      <c r="A128" s="155" t="s">
        <v>61</v>
      </c>
      <c r="B128" s="335" t="s">
        <v>26</v>
      </c>
      <c r="C128" s="335"/>
      <c r="D128" s="335"/>
      <c r="E128" s="171"/>
      <c r="F128" s="170"/>
      <c r="L128" s="220"/>
      <c r="M128" s="361"/>
    </row>
    <row r="129" spans="1:13" s="141" customFormat="1" ht="25.5" customHeight="1">
      <c r="A129" s="155"/>
      <c r="B129" s="335" t="s">
        <v>308</v>
      </c>
      <c r="C129" s="335"/>
      <c r="D129" s="335"/>
      <c r="E129" s="150">
        <v>458204</v>
      </c>
      <c r="F129" s="168">
        <v>13270</v>
      </c>
      <c r="L129" s="220">
        <v>0.029</v>
      </c>
      <c r="M129" s="360">
        <f>$I$135*L129*$L$136/30.2%</f>
        <v>13269.80463576159</v>
      </c>
    </row>
    <row r="130" spans="1:13" s="141" customFormat="1" ht="12.75">
      <c r="A130" s="155" t="s">
        <v>62</v>
      </c>
      <c r="B130" s="335" t="s">
        <v>309</v>
      </c>
      <c r="C130" s="335"/>
      <c r="D130" s="335"/>
      <c r="E130" s="168"/>
      <c r="F130" s="170"/>
      <c r="L130" s="220"/>
      <c r="M130" s="361"/>
    </row>
    <row r="131" spans="1:13" s="141" customFormat="1" ht="27" customHeight="1">
      <c r="A131" s="155" t="s">
        <v>77</v>
      </c>
      <c r="B131" s="335" t="s">
        <v>310</v>
      </c>
      <c r="C131" s="335"/>
      <c r="D131" s="335"/>
      <c r="E131" s="150">
        <v>458204</v>
      </c>
      <c r="F131" s="168">
        <v>915</v>
      </c>
      <c r="L131" s="220">
        <v>0.002</v>
      </c>
      <c r="M131" s="360">
        <f>$I$135*L131*$L$136/30.2%</f>
        <v>915.158940397351</v>
      </c>
    </row>
    <row r="132" spans="1:13" s="141" customFormat="1" ht="27" customHeight="1">
      <c r="A132" s="155" t="s">
        <v>84</v>
      </c>
      <c r="B132" s="335" t="s">
        <v>311</v>
      </c>
      <c r="C132" s="335"/>
      <c r="D132" s="335"/>
      <c r="E132" s="168"/>
      <c r="F132" s="170"/>
      <c r="L132" s="220"/>
      <c r="M132" s="361"/>
    </row>
    <row r="133" spans="1:13" s="141" customFormat="1" ht="27" customHeight="1">
      <c r="A133" s="155" t="s">
        <v>312</v>
      </c>
      <c r="B133" s="335" t="s">
        <v>311</v>
      </c>
      <c r="C133" s="335"/>
      <c r="D133" s="335"/>
      <c r="E133" s="168"/>
      <c r="F133" s="170"/>
      <c r="L133" s="220"/>
      <c r="M133" s="361"/>
    </row>
    <row r="134" spans="1:13" s="141" customFormat="1" ht="15">
      <c r="A134" s="155" t="s">
        <v>264</v>
      </c>
      <c r="B134" s="335" t="s">
        <v>313</v>
      </c>
      <c r="C134" s="335"/>
      <c r="D134" s="335"/>
      <c r="E134" s="150">
        <v>458204</v>
      </c>
      <c r="F134" s="168">
        <v>23336</v>
      </c>
      <c r="L134" s="220">
        <v>0.051</v>
      </c>
      <c r="M134" s="360">
        <f>$I$135*L134*$L$136/30.2%</f>
        <v>23336.55298013245</v>
      </c>
    </row>
    <row r="135" spans="1:13" s="141" customFormat="1" ht="13.5" customHeight="1">
      <c r="A135" s="155"/>
      <c r="B135" s="335" t="s">
        <v>287</v>
      </c>
      <c r="C135" s="335"/>
      <c r="D135" s="335"/>
      <c r="E135" s="168" t="s">
        <v>28</v>
      </c>
      <c r="F135" s="183">
        <f>F134+F127+F122</f>
        <v>138189</v>
      </c>
      <c r="G135" s="141">
        <f>599000-140796</f>
        <v>458204</v>
      </c>
      <c r="I135" s="202">
        <f>G135+H135</f>
        <v>458204</v>
      </c>
      <c r="J135" s="141">
        <f>180896-42707</f>
        <v>138189</v>
      </c>
      <c r="L135" s="202">
        <f>J135+K135</f>
        <v>138189</v>
      </c>
      <c r="M135" s="141">
        <f>M134+M131+M129+M122</f>
        <v>138189</v>
      </c>
    </row>
    <row r="136" spans="12:13" ht="15" customHeight="1">
      <c r="L136" s="221">
        <f>L135/I135</f>
        <v>0.3015883754834091</v>
      </c>
      <c r="M136" s="362">
        <f>M135/0.302</f>
        <v>457579.4701986755</v>
      </c>
    </row>
    <row r="137" spans="1:6" s="136" customFormat="1" ht="48" customHeight="1">
      <c r="A137" s="358" t="s">
        <v>314</v>
      </c>
      <c r="B137" s="358"/>
      <c r="C137" s="358"/>
      <c r="D137" s="358"/>
      <c r="E137" s="358"/>
      <c r="F137" s="358"/>
    </row>
    <row r="139" spans="1:7" s="144" customFormat="1" ht="15" hidden="1">
      <c r="A139" s="318" t="s">
        <v>315</v>
      </c>
      <c r="B139" s="318"/>
      <c r="C139" s="318"/>
      <c r="D139" s="318"/>
      <c r="E139" s="318"/>
      <c r="F139" s="318"/>
      <c r="G139" s="143"/>
    </row>
    <row r="140" ht="6" customHeight="1" hidden="1"/>
    <row r="141" spans="1:7" s="144" customFormat="1" ht="15" hidden="1">
      <c r="A141" s="144" t="s">
        <v>246</v>
      </c>
      <c r="C141" s="149">
        <v>321</v>
      </c>
      <c r="D141" s="146"/>
      <c r="E141" s="146"/>
      <c r="F141" s="146"/>
      <c r="G141" s="143"/>
    </row>
    <row r="142" spans="4:7" s="144" customFormat="1" ht="6" customHeight="1" hidden="1">
      <c r="D142" s="147"/>
      <c r="E142" s="147"/>
      <c r="F142" s="147"/>
      <c r="G142" s="143"/>
    </row>
    <row r="143" spans="1:7" s="144" customFormat="1" ht="15" hidden="1">
      <c r="A143" s="144" t="s">
        <v>247</v>
      </c>
      <c r="C143" s="149"/>
      <c r="D143" s="149"/>
      <c r="E143" s="149"/>
      <c r="F143" s="149"/>
      <c r="G143" s="143"/>
    </row>
    <row r="144" ht="10.5" customHeight="1" hidden="1"/>
    <row r="145" spans="1:6" s="151" customFormat="1" ht="45" customHeight="1" hidden="1">
      <c r="A145" s="150" t="s">
        <v>249</v>
      </c>
      <c r="B145" s="328" t="s">
        <v>20</v>
      </c>
      <c r="C145" s="328"/>
      <c r="D145" s="150" t="s">
        <v>316</v>
      </c>
      <c r="E145" s="150" t="s">
        <v>317</v>
      </c>
      <c r="F145" s="150" t="s">
        <v>318</v>
      </c>
    </row>
    <row r="146" spans="1:6" s="154" customFormat="1" ht="12.75" hidden="1">
      <c r="A146" s="152">
        <v>1</v>
      </c>
      <c r="B146" s="328">
        <v>2</v>
      </c>
      <c r="C146" s="328"/>
      <c r="D146" s="152">
        <v>3</v>
      </c>
      <c r="E146" s="152">
        <v>4</v>
      </c>
      <c r="F146" s="152">
        <v>5</v>
      </c>
    </row>
    <row r="147" spans="1:6" s="158" customFormat="1" ht="15" customHeight="1" hidden="1">
      <c r="A147" s="155"/>
      <c r="B147" s="328"/>
      <c r="C147" s="328"/>
      <c r="D147" s="168"/>
      <c r="E147" s="168"/>
      <c r="F147" s="183">
        <f>ROUND(D147*E147,0)</f>
        <v>0</v>
      </c>
    </row>
    <row r="148" spans="1:6" s="158" customFormat="1" ht="15" customHeight="1" hidden="1">
      <c r="A148" s="155"/>
      <c r="B148" s="328"/>
      <c r="C148" s="328"/>
      <c r="D148" s="168"/>
      <c r="E148" s="168"/>
      <c r="F148" s="183">
        <f>ROUND(D148*E148,0)</f>
        <v>0</v>
      </c>
    </row>
    <row r="149" spans="1:6" s="158" customFormat="1" ht="15" customHeight="1" hidden="1">
      <c r="A149" s="155"/>
      <c r="B149" s="335" t="s">
        <v>287</v>
      </c>
      <c r="C149" s="335"/>
      <c r="D149" s="168" t="s">
        <v>28</v>
      </c>
      <c r="E149" s="168" t="s">
        <v>28</v>
      </c>
      <c r="F149" s="183">
        <f>SUM(F147:F148)</f>
        <v>0</v>
      </c>
    </row>
    <row r="150" s="141" customFormat="1" ht="12" customHeight="1" hidden="1"/>
    <row r="151" spans="1:7" s="144" customFormat="1" ht="15">
      <c r="A151" s="318" t="s">
        <v>319</v>
      </c>
      <c r="B151" s="318"/>
      <c r="C151" s="318"/>
      <c r="D151" s="318"/>
      <c r="E151" s="318"/>
      <c r="F151" s="318"/>
      <c r="G151" s="143"/>
    </row>
    <row r="152" ht="6" customHeight="1"/>
    <row r="153" spans="1:7" s="144" customFormat="1" ht="15">
      <c r="A153" s="144" t="s">
        <v>246</v>
      </c>
      <c r="C153" s="178" t="s">
        <v>387</v>
      </c>
      <c r="D153" s="178"/>
      <c r="E153" s="178"/>
      <c r="F153" s="178"/>
      <c r="G153" s="143"/>
    </row>
    <row r="154" spans="3:7" s="144" customFormat="1" ht="6" customHeight="1">
      <c r="C154" s="180"/>
      <c r="D154" s="180"/>
      <c r="E154" s="180"/>
      <c r="F154" s="180"/>
      <c r="G154" s="143"/>
    </row>
    <row r="155" spans="1:8" s="144" customFormat="1" ht="15">
      <c r="A155" s="144" t="s">
        <v>247</v>
      </c>
      <c r="C155" s="351" t="s">
        <v>367</v>
      </c>
      <c r="D155" s="351"/>
      <c r="E155" s="351"/>
      <c r="F155" s="351"/>
      <c r="G155" s="143"/>
      <c r="H155" s="145">
        <f>F163+F174</f>
        <v>38362.61</v>
      </c>
    </row>
    <row r="156" ht="10.5" customHeight="1"/>
    <row r="157" spans="1:6" s="151" customFormat="1" ht="55.5" customHeight="1">
      <c r="A157" s="150" t="s">
        <v>249</v>
      </c>
      <c r="B157" s="328" t="s">
        <v>320</v>
      </c>
      <c r="C157" s="328"/>
      <c r="D157" s="150" t="s">
        <v>321</v>
      </c>
      <c r="E157" s="150" t="s">
        <v>322</v>
      </c>
      <c r="F157" s="150" t="s">
        <v>323</v>
      </c>
    </row>
    <row r="158" spans="1:6" s="154" customFormat="1" ht="12.75">
      <c r="A158" s="152">
        <v>1</v>
      </c>
      <c r="B158" s="328">
        <v>2</v>
      </c>
      <c r="C158" s="328"/>
      <c r="D158" s="152">
        <v>3</v>
      </c>
      <c r="E158" s="152">
        <v>4</v>
      </c>
      <c r="F158" s="152">
        <v>5</v>
      </c>
    </row>
    <row r="159" spans="1:6" s="158" customFormat="1" ht="15" customHeight="1">
      <c r="A159" s="155"/>
      <c r="B159" s="337" t="s">
        <v>388</v>
      </c>
      <c r="C159" s="339"/>
      <c r="D159" s="168"/>
      <c r="E159" s="168"/>
      <c r="F159" s="157"/>
    </row>
    <row r="160" spans="1:6" s="158" customFormat="1" ht="15" customHeight="1">
      <c r="A160" s="155"/>
      <c r="B160" s="337" t="s">
        <v>389</v>
      </c>
      <c r="C160" s="339"/>
      <c r="D160" s="168"/>
      <c r="E160" s="168"/>
      <c r="F160" s="157">
        <v>1000</v>
      </c>
    </row>
    <row r="161" spans="1:6" s="158" customFormat="1" ht="15" customHeight="1">
      <c r="A161" s="155"/>
      <c r="B161" s="337" t="s">
        <v>686</v>
      </c>
      <c r="C161" s="339"/>
      <c r="D161" s="168"/>
      <c r="E161" s="168"/>
      <c r="F161" s="157">
        <f>31362.61</f>
        <v>31362.61</v>
      </c>
    </row>
    <row r="162" spans="1:6" s="158" customFormat="1" ht="31.5" customHeight="1" hidden="1">
      <c r="A162" s="155"/>
      <c r="B162" s="337"/>
      <c r="C162" s="339"/>
      <c r="D162" s="168"/>
      <c r="E162" s="168"/>
      <c r="F162" s="157"/>
    </row>
    <row r="163" spans="1:6" s="158" customFormat="1" ht="15" customHeight="1">
      <c r="A163" s="155"/>
      <c r="B163" s="335" t="s">
        <v>287</v>
      </c>
      <c r="C163" s="335"/>
      <c r="D163" s="168"/>
      <c r="E163" s="168" t="s">
        <v>28</v>
      </c>
      <c r="F163" s="157">
        <f>SUM(F159:F162)</f>
        <v>32362.61</v>
      </c>
    </row>
    <row r="164" ht="12" customHeight="1"/>
    <row r="165" spans="1:7" s="144" customFormat="1" ht="15">
      <c r="A165" s="144" t="s">
        <v>246</v>
      </c>
      <c r="C165" s="190" t="s">
        <v>387</v>
      </c>
      <c r="D165" s="146"/>
      <c r="E165" s="146"/>
      <c r="F165" s="146"/>
      <c r="G165" s="143"/>
    </row>
    <row r="166" spans="3:7" s="144" customFormat="1" ht="6" customHeight="1">
      <c r="C166" s="147"/>
      <c r="D166" s="147"/>
      <c r="E166" s="147"/>
      <c r="F166" s="147"/>
      <c r="G166" s="143"/>
    </row>
    <row r="167" spans="1:7" s="144" customFormat="1" ht="15">
      <c r="A167" s="144" t="s">
        <v>247</v>
      </c>
      <c r="C167" s="332" t="s">
        <v>386</v>
      </c>
      <c r="D167" s="332"/>
      <c r="E167" s="332"/>
      <c r="F167" s="332"/>
      <c r="G167" s="143"/>
    </row>
    <row r="168" ht="10.5" customHeight="1"/>
    <row r="169" spans="1:6" s="151" customFormat="1" ht="51.75" customHeight="1">
      <c r="A169" s="150" t="s">
        <v>249</v>
      </c>
      <c r="B169" s="328" t="s">
        <v>320</v>
      </c>
      <c r="C169" s="328"/>
      <c r="D169" s="150" t="s">
        <v>321</v>
      </c>
      <c r="E169" s="150" t="s">
        <v>322</v>
      </c>
      <c r="F169" s="184" t="s">
        <v>736</v>
      </c>
    </row>
    <row r="170" spans="1:6" s="154" customFormat="1" ht="12.75">
      <c r="A170" s="152">
        <v>1</v>
      </c>
      <c r="B170" s="328">
        <v>2</v>
      </c>
      <c r="C170" s="328"/>
      <c r="D170" s="152">
        <v>3</v>
      </c>
      <c r="E170" s="152">
        <v>4</v>
      </c>
      <c r="F170" s="152">
        <v>5</v>
      </c>
    </row>
    <row r="171" spans="1:6" s="158" customFormat="1" ht="15" customHeight="1">
      <c r="A171" s="155"/>
      <c r="B171" s="337" t="s">
        <v>389</v>
      </c>
      <c r="C171" s="339"/>
      <c r="D171" s="168"/>
      <c r="E171" s="168"/>
      <c r="F171" s="183">
        <v>6000</v>
      </c>
    </row>
    <row r="172" spans="1:6" s="158" customFormat="1" ht="15" customHeight="1" hidden="1">
      <c r="A172" s="155"/>
      <c r="B172" s="185"/>
      <c r="C172" s="186"/>
      <c r="D172" s="168"/>
      <c r="E172" s="168"/>
      <c r="F172" s="183">
        <f>ROUND(D172*E172,0)</f>
        <v>0</v>
      </c>
    </row>
    <row r="173" spans="1:6" s="158" customFormat="1" ht="15" customHeight="1" hidden="1">
      <c r="A173" s="155"/>
      <c r="B173" s="328"/>
      <c r="C173" s="328"/>
      <c r="D173" s="168"/>
      <c r="E173" s="168"/>
      <c r="F173" s="183">
        <f>ROUND(D173*E173,0)</f>
        <v>0</v>
      </c>
    </row>
    <row r="174" spans="1:6" s="158" customFormat="1" ht="15" customHeight="1">
      <c r="A174" s="155"/>
      <c r="B174" s="335" t="s">
        <v>287</v>
      </c>
      <c r="C174" s="335"/>
      <c r="D174" s="168"/>
      <c r="E174" s="168" t="s">
        <v>28</v>
      </c>
      <c r="F174" s="183">
        <f>SUM(F171:F173)</f>
        <v>6000</v>
      </c>
    </row>
    <row r="175" ht="12" customHeight="1"/>
    <row r="176" spans="1:7" s="144" customFormat="1" ht="15" hidden="1">
      <c r="A176" s="318" t="s">
        <v>324</v>
      </c>
      <c r="B176" s="318"/>
      <c r="C176" s="318"/>
      <c r="D176" s="318"/>
      <c r="E176" s="318"/>
      <c r="F176" s="318"/>
      <c r="G176" s="143"/>
    </row>
    <row r="177" ht="6" customHeight="1" hidden="1"/>
    <row r="178" spans="1:7" s="144" customFormat="1" ht="15" hidden="1">
      <c r="A178" s="144" t="s">
        <v>246</v>
      </c>
      <c r="C178" s="178" t="s">
        <v>391</v>
      </c>
      <c r="D178" s="178"/>
      <c r="E178" s="178"/>
      <c r="F178" s="178"/>
      <c r="G178" s="143"/>
    </row>
    <row r="179" spans="3:7" s="144" customFormat="1" ht="6" customHeight="1" hidden="1">
      <c r="C179" s="180"/>
      <c r="D179" s="180"/>
      <c r="E179" s="180"/>
      <c r="F179" s="180"/>
      <c r="G179" s="143"/>
    </row>
    <row r="180" spans="1:7" s="144" customFormat="1" ht="32.25" customHeight="1" hidden="1">
      <c r="A180" s="144" t="s">
        <v>247</v>
      </c>
      <c r="C180" s="351"/>
      <c r="D180" s="351"/>
      <c r="E180" s="351"/>
      <c r="F180" s="351"/>
      <c r="G180" s="143"/>
    </row>
    <row r="181" ht="10.5" customHeight="1" hidden="1"/>
    <row r="182" spans="1:6" s="151" customFormat="1" ht="45" customHeight="1" hidden="1">
      <c r="A182" s="150" t="s">
        <v>249</v>
      </c>
      <c r="B182" s="328" t="s">
        <v>20</v>
      </c>
      <c r="C182" s="328"/>
      <c r="D182" s="150" t="s">
        <v>316</v>
      </c>
      <c r="E182" s="150" t="s">
        <v>317</v>
      </c>
      <c r="F182" s="150" t="s">
        <v>318</v>
      </c>
    </row>
    <row r="183" spans="1:6" s="154" customFormat="1" ht="12.75" hidden="1">
      <c r="A183" s="152">
        <v>1</v>
      </c>
      <c r="B183" s="328">
        <v>2</v>
      </c>
      <c r="C183" s="328"/>
      <c r="D183" s="152">
        <v>3</v>
      </c>
      <c r="E183" s="152">
        <v>4</v>
      </c>
      <c r="F183" s="183">
        <v>5</v>
      </c>
    </row>
    <row r="184" spans="1:6" s="158" customFormat="1" ht="15" customHeight="1" hidden="1">
      <c r="A184" s="155"/>
      <c r="B184" s="328"/>
      <c r="C184" s="328"/>
      <c r="D184" s="168"/>
      <c r="E184" s="168"/>
      <c r="F184" s="183">
        <f>ROUND(D184*E184,0)</f>
        <v>0</v>
      </c>
    </row>
    <row r="185" spans="1:6" s="158" customFormat="1" ht="15" customHeight="1" hidden="1">
      <c r="A185" s="155"/>
      <c r="B185" s="328"/>
      <c r="C185" s="328"/>
      <c r="D185" s="168"/>
      <c r="E185" s="168"/>
      <c r="F185" s="183">
        <f>ROUND(D185*E185,0)</f>
        <v>0</v>
      </c>
    </row>
    <row r="186" spans="1:6" s="158" customFormat="1" ht="15" customHeight="1" hidden="1">
      <c r="A186" s="155"/>
      <c r="B186" s="335" t="s">
        <v>287</v>
      </c>
      <c r="C186" s="335"/>
      <c r="D186" s="168" t="s">
        <v>28</v>
      </c>
      <c r="E186" s="168" t="s">
        <v>28</v>
      </c>
      <c r="F186" s="183">
        <f>SUM(F184:F185)</f>
        <v>0</v>
      </c>
    </row>
    <row r="187" ht="12" customHeight="1" hidden="1"/>
    <row r="188" spans="1:8" s="144" customFormat="1" ht="18.75" customHeight="1">
      <c r="A188" s="336" t="s">
        <v>737</v>
      </c>
      <c r="B188" s="336"/>
      <c r="C188" s="336"/>
      <c r="D188" s="336"/>
      <c r="E188" s="336"/>
      <c r="F188" s="336"/>
      <c r="G188" s="143"/>
      <c r="H188" s="145">
        <f>F198+F207</f>
        <v>34850</v>
      </c>
    </row>
    <row r="189" ht="6" customHeight="1"/>
    <row r="190" spans="1:7" s="144" customFormat="1" ht="15">
      <c r="A190" s="144" t="s">
        <v>246</v>
      </c>
      <c r="C190" s="178" t="s">
        <v>392</v>
      </c>
      <c r="D190" s="178"/>
      <c r="E190" s="178"/>
      <c r="F190" s="178"/>
      <c r="G190" s="143"/>
    </row>
    <row r="191" spans="3:7" s="144" customFormat="1" ht="6" customHeight="1">
      <c r="C191" s="180"/>
      <c r="D191" s="180"/>
      <c r="E191" s="180"/>
      <c r="F191" s="180"/>
      <c r="G191" s="143"/>
    </row>
    <row r="192" spans="1:7" s="144" customFormat="1" ht="15">
      <c r="A192" s="144" t="s">
        <v>247</v>
      </c>
      <c r="C192" s="351" t="s">
        <v>367</v>
      </c>
      <c r="D192" s="351"/>
      <c r="E192" s="351"/>
      <c r="F192" s="351"/>
      <c r="G192" s="143"/>
    </row>
    <row r="193" ht="10.5" customHeight="1"/>
    <row r="194" spans="1:6" s="151" customFormat="1" ht="45" customHeight="1">
      <c r="A194" s="150" t="s">
        <v>249</v>
      </c>
      <c r="B194" s="328" t="s">
        <v>20</v>
      </c>
      <c r="C194" s="328"/>
      <c r="D194" s="150" t="s">
        <v>316</v>
      </c>
      <c r="E194" s="150" t="s">
        <v>317</v>
      </c>
      <c r="F194" s="150" t="s">
        <v>318</v>
      </c>
    </row>
    <row r="195" spans="1:6" s="154" customFormat="1" ht="12.75">
      <c r="A195" s="152">
        <v>1</v>
      </c>
      <c r="B195" s="328">
        <v>2</v>
      </c>
      <c r="C195" s="328"/>
      <c r="D195" s="152">
        <v>3</v>
      </c>
      <c r="E195" s="152">
        <v>4</v>
      </c>
      <c r="F195" s="152">
        <v>5</v>
      </c>
    </row>
    <row r="196" spans="1:6" s="158" customFormat="1" ht="29.25" customHeight="1">
      <c r="A196" s="155"/>
      <c r="B196" s="337" t="s">
        <v>390</v>
      </c>
      <c r="C196" s="339"/>
      <c r="D196" s="168"/>
      <c r="E196" s="168"/>
      <c r="F196" s="157">
        <v>20000</v>
      </c>
    </row>
    <row r="197" spans="1:6" s="158" customFormat="1" ht="15" customHeight="1" hidden="1">
      <c r="A197" s="155"/>
      <c r="B197" s="328"/>
      <c r="C197" s="328"/>
      <c r="D197" s="168"/>
      <c r="E197" s="168"/>
      <c r="F197" s="183">
        <f>ROUND(D197*E197,0)</f>
        <v>0</v>
      </c>
    </row>
    <row r="198" spans="1:6" s="158" customFormat="1" ht="15" customHeight="1">
      <c r="A198" s="155"/>
      <c r="B198" s="335" t="s">
        <v>287</v>
      </c>
      <c r="C198" s="335"/>
      <c r="D198" s="168" t="s">
        <v>28</v>
      </c>
      <c r="E198" s="168" t="s">
        <v>28</v>
      </c>
      <c r="F198" s="183">
        <f>SUM(F196:F197)</f>
        <v>20000</v>
      </c>
    </row>
    <row r="199" ht="12" customHeight="1"/>
    <row r="200" spans="1:7" s="144" customFormat="1" ht="15">
      <c r="A200" s="144" t="s">
        <v>246</v>
      </c>
      <c r="C200" s="189" t="s">
        <v>392</v>
      </c>
      <c r="D200" s="146"/>
      <c r="E200" s="146"/>
      <c r="F200" s="146"/>
      <c r="G200" s="143"/>
    </row>
    <row r="201" spans="3:7" s="144" customFormat="1" ht="6" customHeight="1">
      <c r="C201" s="147"/>
      <c r="D201" s="147"/>
      <c r="E201" s="147"/>
      <c r="F201" s="147"/>
      <c r="G201" s="143"/>
    </row>
    <row r="202" spans="1:7" s="144" customFormat="1" ht="15" customHeight="1">
      <c r="A202" s="144" t="s">
        <v>247</v>
      </c>
      <c r="C202" s="344" t="s">
        <v>380</v>
      </c>
      <c r="D202" s="344"/>
      <c r="E202" s="344"/>
      <c r="F202" s="344"/>
      <c r="G202" s="143"/>
    </row>
    <row r="203" ht="10.5" customHeight="1"/>
    <row r="204" spans="1:6" s="151" customFormat="1" ht="45" customHeight="1">
      <c r="A204" s="150" t="s">
        <v>249</v>
      </c>
      <c r="B204" s="328" t="s">
        <v>20</v>
      </c>
      <c r="C204" s="328"/>
      <c r="D204" s="150" t="s">
        <v>316</v>
      </c>
      <c r="E204" s="150" t="s">
        <v>317</v>
      </c>
      <c r="F204" s="150" t="s">
        <v>318</v>
      </c>
    </row>
    <row r="205" spans="1:6" s="154" customFormat="1" ht="12.75">
      <c r="A205" s="152">
        <v>1</v>
      </c>
      <c r="B205" s="328">
        <v>2</v>
      </c>
      <c r="C205" s="328"/>
      <c r="D205" s="152">
        <v>3</v>
      </c>
      <c r="E205" s="152">
        <v>4</v>
      </c>
      <c r="F205" s="152">
        <v>5</v>
      </c>
    </row>
    <row r="206" spans="1:6" s="158" customFormat="1" ht="15" customHeight="1">
      <c r="A206" s="155"/>
      <c r="B206" s="337" t="s">
        <v>729</v>
      </c>
      <c r="C206" s="339"/>
      <c r="D206" s="168"/>
      <c r="E206" s="168"/>
      <c r="F206" s="183">
        <v>14850</v>
      </c>
    </row>
    <row r="207" spans="1:6" s="158" customFormat="1" ht="15" customHeight="1">
      <c r="A207" s="155"/>
      <c r="B207" s="335" t="s">
        <v>287</v>
      </c>
      <c r="C207" s="335"/>
      <c r="D207" s="168" t="s">
        <v>28</v>
      </c>
      <c r="E207" s="168" t="s">
        <v>28</v>
      </c>
      <c r="F207" s="183">
        <f>SUM(F206:F206)</f>
        <v>14850</v>
      </c>
    </row>
    <row r="208" ht="12" customHeight="1"/>
    <row r="209" spans="1:7" s="144" customFormat="1" ht="15">
      <c r="A209" s="318" t="s">
        <v>325</v>
      </c>
      <c r="B209" s="318"/>
      <c r="C209" s="318"/>
      <c r="D209" s="318"/>
      <c r="E209" s="318"/>
      <c r="F209" s="318"/>
      <c r="G209" s="143"/>
    </row>
    <row r="210" ht="6" customHeight="1"/>
    <row r="211" spans="1:8" s="144" customFormat="1" ht="15">
      <c r="A211" s="144" t="s">
        <v>246</v>
      </c>
      <c r="C211" s="178" t="s">
        <v>393</v>
      </c>
      <c r="D211" s="178"/>
      <c r="E211" s="178"/>
      <c r="F211" s="178"/>
      <c r="G211" s="222">
        <f>F223+F231+F242+F250+F277+F303+F370</f>
        <v>2101650.58</v>
      </c>
      <c r="H211" s="192">
        <f>G211+G372+G466</f>
        <v>3429105.13</v>
      </c>
    </row>
    <row r="212" spans="3:7" s="144" customFormat="1" ht="6" customHeight="1">
      <c r="C212" s="180"/>
      <c r="D212" s="180"/>
      <c r="E212" s="180"/>
      <c r="F212" s="180"/>
      <c r="G212" s="143"/>
    </row>
    <row r="213" spans="1:13" s="144" customFormat="1" ht="15">
      <c r="A213" s="144" t="s">
        <v>247</v>
      </c>
      <c r="C213" s="351" t="s">
        <v>367</v>
      </c>
      <c r="D213" s="351"/>
      <c r="E213" s="351"/>
      <c r="F213" s="351"/>
      <c r="G213" s="198">
        <f>'2.2.2017'!E65</f>
        <v>2101650.5800000015</v>
      </c>
      <c r="H213" s="199">
        <f>'2.2.2017'!D65</f>
        <v>3435005.1300000018</v>
      </c>
      <c r="L213" s="144" t="s">
        <v>696</v>
      </c>
      <c r="M213" s="144" t="s">
        <v>695</v>
      </c>
    </row>
    <row r="214" spans="7:8" ht="6.75" customHeight="1">
      <c r="G214" s="222">
        <f>G213-G211</f>
        <v>0</v>
      </c>
      <c r="H214" s="222">
        <f>H213-H211</f>
        <v>5900.000000001863</v>
      </c>
    </row>
    <row r="215" spans="1:7" s="144" customFormat="1" ht="15">
      <c r="A215" s="318" t="s">
        <v>326</v>
      </c>
      <c r="B215" s="318"/>
      <c r="C215" s="318"/>
      <c r="D215" s="318"/>
      <c r="E215" s="318"/>
      <c r="F215" s="318"/>
      <c r="G215" s="143"/>
    </row>
    <row r="216" ht="10.5" customHeight="1"/>
    <row r="217" spans="1:6" s="151" customFormat="1" ht="45" customHeight="1">
      <c r="A217" s="150" t="s">
        <v>249</v>
      </c>
      <c r="B217" s="150" t="s">
        <v>320</v>
      </c>
      <c r="C217" s="150" t="s">
        <v>327</v>
      </c>
      <c r="D217" s="150" t="s">
        <v>328</v>
      </c>
      <c r="E217" s="150" t="s">
        <v>329</v>
      </c>
      <c r="F217" s="150" t="s">
        <v>293</v>
      </c>
    </row>
    <row r="218" spans="1:6" s="154" customFormat="1" ht="12.75">
      <c r="A218" s="152">
        <v>1</v>
      </c>
      <c r="B218" s="152">
        <v>2</v>
      </c>
      <c r="C218" s="152">
        <v>3</v>
      </c>
      <c r="D218" s="152">
        <v>4</v>
      </c>
      <c r="E218" s="152">
        <v>5</v>
      </c>
      <c r="F218" s="152">
        <v>6</v>
      </c>
    </row>
    <row r="219" spans="1:13" s="158" customFormat="1" ht="15" customHeight="1">
      <c r="A219" s="155"/>
      <c r="B219" s="170" t="s">
        <v>394</v>
      </c>
      <c r="C219" s="168">
        <v>1</v>
      </c>
      <c r="D219" s="182">
        <v>12</v>
      </c>
      <c r="E219" s="187">
        <v>1758.2</v>
      </c>
      <c r="F219" s="157">
        <f>D219*E219-46.4+16.53</f>
        <v>21068.53</v>
      </c>
      <c r="L219" s="158">
        <v>21068.53</v>
      </c>
      <c r="M219" s="240">
        <f>L219-F219</f>
        <v>0</v>
      </c>
    </row>
    <row r="220" spans="1:13" s="158" customFormat="1" ht="15" customHeight="1">
      <c r="A220" s="155"/>
      <c r="B220" s="170" t="s">
        <v>395</v>
      </c>
      <c r="C220" s="168">
        <v>4</v>
      </c>
      <c r="D220" s="168">
        <v>12</v>
      </c>
      <c r="E220" s="168">
        <v>259.6</v>
      </c>
      <c r="F220" s="157">
        <f>ROUND(C220*D220*E220,0)</f>
        <v>12461</v>
      </c>
      <c r="L220" s="158">
        <v>6576.47</v>
      </c>
      <c r="M220" s="240">
        <f>L220-F220</f>
        <v>-5884.53</v>
      </c>
    </row>
    <row r="221" spans="1:13" s="158" customFormat="1" ht="12.75">
      <c r="A221" s="155"/>
      <c r="B221" s="170" t="s">
        <v>689</v>
      </c>
      <c r="C221" s="168">
        <v>4</v>
      </c>
      <c r="D221" s="168">
        <v>12</v>
      </c>
      <c r="E221" s="187">
        <f>4029.6/4</f>
        <v>1007.4</v>
      </c>
      <c r="F221" s="157">
        <f>ROUND(C221*D221*E221,0)</f>
        <v>48355</v>
      </c>
      <c r="L221" s="158">
        <v>48355</v>
      </c>
      <c r="M221" s="240">
        <f>L221-F221</f>
        <v>0</v>
      </c>
    </row>
    <row r="222" spans="1:6" s="158" customFormat="1" ht="15" customHeight="1" hidden="1">
      <c r="A222" s="155"/>
      <c r="B222" s="191" t="s">
        <v>396</v>
      </c>
      <c r="C222" s="168"/>
      <c r="D222" s="168"/>
      <c r="E222" s="168"/>
      <c r="F222" s="157"/>
    </row>
    <row r="223" spans="1:16" s="158" customFormat="1" ht="15" customHeight="1">
      <c r="A223" s="155"/>
      <c r="B223" s="172" t="s">
        <v>330</v>
      </c>
      <c r="C223" s="168" t="s">
        <v>28</v>
      </c>
      <c r="D223" s="168" t="s">
        <v>28</v>
      </c>
      <c r="E223" s="168" t="s">
        <v>28</v>
      </c>
      <c r="F223" s="157">
        <f>SUM(F219:F222)</f>
        <v>81884.53</v>
      </c>
      <c r="G223" s="252">
        <f>81884.53-F223</f>
        <v>0</v>
      </c>
      <c r="L223" s="158">
        <v>76000</v>
      </c>
      <c r="M223" s="240">
        <f>L223-F223</f>
        <v>-5884.529999999999</v>
      </c>
      <c r="N223" s="158">
        <v>76000</v>
      </c>
      <c r="O223" s="158">
        <v>5884.53</v>
      </c>
      <c r="P223" s="158">
        <v>81884.53</v>
      </c>
    </row>
    <row r="224" ht="14.25" customHeight="1">
      <c r="G224" s="222">
        <v>16.53</v>
      </c>
    </row>
    <row r="225" spans="1:7" s="144" customFormat="1" ht="15" hidden="1">
      <c r="A225" s="318" t="s">
        <v>331</v>
      </c>
      <c r="B225" s="318"/>
      <c r="C225" s="318"/>
      <c r="D225" s="318"/>
      <c r="E225" s="318"/>
      <c r="F225" s="318"/>
      <c r="G225" s="143"/>
    </row>
    <row r="226" ht="10.5" customHeight="1" hidden="1"/>
    <row r="227" spans="1:6" s="151" customFormat="1" ht="45" customHeight="1" hidden="1">
      <c r="A227" s="150" t="s">
        <v>249</v>
      </c>
      <c r="B227" s="328" t="s">
        <v>320</v>
      </c>
      <c r="C227" s="328"/>
      <c r="D227" s="150" t="s">
        <v>332</v>
      </c>
      <c r="E227" s="150" t="s">
        <v>333</v>
      </c>
      <c r="F227" s="150" t="s">
        <v>334</v>
      </c>
    </row>
    <row r="228" spans="1:6" s="154" customFormat="1" ht="12.75" hidden="1">
      <c r="A228" s="152">
        <v>1</v>
      </c>
      <c r="B228" s="328">
        <v>2</v>
      </c>
      <c r="C228" s="328"/>
      <c r="D228" s="152">
        <v>3</v>
      </c>
      <c r="E228" s="152">
        <v>4</v>
      </c>
      <c r="F228" s="152">
        <v>5</v>
      </c>
    </row>
    <row r="229" spans="1:6" s="158" customFormat="1" ht="15" customHeight="1" hidden="1">
      <c r="A229" s="155"/>
      <c r="B229" s="328"/>
      <c r="C229" s="328"/>
      <c r="D229" s="168"/>
      <c r="E229" s="168"/>
      <c r="F229" s="183">
        <f>ROUND(D229*E229,0)</f>
        <v>0</v>
      </c>
    </row>
    <row r="230" spans="1:6" s="158" customFormat="1" ht="15" customHeight="1" hidden="1">
      <c r="A230" s="155"/>
      <c r="B230" s="328"/>
      <c r="C230" s="328"/>
      <c r="D230" s="168"/>
      <c r="E230" s="168"/>
      <c r="F230" s="183">
        <f>ROUND(D230*E230,0)</f>
        <v>0</v>
      </c>
    </row>
    <row r="231" spans="1:6" s="158" customFormat="1" ht="15" customHeight="1" hidden="1">
      <c r="A231" s="155"/>
      <c r="B231" s="335" t="s">
        <v>287</v>
      </c>
      <c r="C231" s="335"/>
      <c r="D231" s="168"/>
      <c r="E231" s="168"/>
      <c r="F231" s="183">
        <f>SUM(F229:F230)</f>
        <v>0</v>
      </c>
    </row>
    <row r="232" ht="10.5" customHeight="1" hidden="1"/>
    <row r="233" spans="1:7" s="144" customFormat="1" ht="15">
      <c r="A233" s="318" t="s">
        <v>335</v>
      </c>
      <c r="B233" s="318"/>
      <c r="C233" s="318"/>
      <c r="D233" s="318"/>
      <c r="E233" s="318"/>
      <c r="F233" s="318"/>
      <c r="G233" s="143"/>
    </row>
    <row r="234" ht="10.5" customHeight="1"/>
    <row r="235" spans="1:10" s="151" customFormat="1" ht="45" customHeight="1">
      <c r="A235" s="150" t="s">
        <v>249</v>
      </c>
      <c r="B235" s="150" t="s">
        <v>20</v>
      </c>
      <c r="C235" s="150" t="s">
        <v>336</v>
      </c>
      <c r="D235" s="150" t="s">
        <v>337</v>
      </c>
      <c r="E235" s="150" t="s">
        <v>338</v>
      </c>
      <c r="F235" s="150" t="s">
        <v>339</v>
      </c>
      <c r="I235" s="151" t="s">
        <v>438</v>
      </c>
      <c r="J235" s="150" t="s">
        <v>336</v>
      </c>
    </row>
    <row r="236" spans="1:10" s="154" customFormat="1" ht="18.75" customHeight="1">
      <c r="A236" s="152">
        <v>1</v>
      </c>
      <c r="B236" s="152">
        <v>2</v>
      </c>
      <c r="C236" s="152">
        <v>4</v>
      </c>
      <c r="D236" s="152">
        <v>5</v>
      </c>
      <c r="E236" s="152">
        <v>6</v>
      </c>
      <c r="F236" s="152">
        <v>6</v>
      </c>
      <c r="G236" s="158">
        <v>1010781</v>
      </c>
      <c r="H236" s="158"/>
      <c r="I236" s="154">
        <v>1083597</v>
      </c>
      <c r="J236" s="168">
        <v>450.364</v>
      </c>
    </row>
    <row r="237" spans="1:15" s="158" customFormat="1" ht="12.75">
      <c r="A237" s="155"/>
      <c r="B237" s="170" t="s">
        <v>397</v>
      </c>
      <c r="C237" s="195">
        <f>G236/D237</f>
        <v>417.913996082086</v>
      </c>
      <c r="D237" s="168">
        <v>2418.634</v>
      </c>
      <c r="E237" s="168">
        <v>1</v>
      </c>
      <c r="F237" s="157">
        <f>ROUND(C237*D237*E237,0)</f>
        <v>1010781</v>
      </c>
      <c r="G237" s="158">
        <v>29436</v>
      </c>
      <c r="H237" s="193">
        <f>G237/I237</f>
        <v>1.2195384679123338</v>
      </c>
      <c r="I237" s="158">
        <v>24137</v>
      </c>
      <c r="K237" s="158" t="s">
        <v>439</v>
      </c>
      <c r="L237" s="240">
        <v>1029191</v>
      </c>
      <c r="M237" s="240">
        <f aca="true" t="shared" si="0" ref="M237:M242">L237-F237</f>
        <v>18410</v>
      </c>
      <c r="O237" s="158" t="s">
        <v>697</v>
      </c>
    </row>
    <row r="238" spans="1:15" s="158" customFormat="1" ht="12.75">
      <c r="A238" s="155"/>
      <c r="B238" s="170" t="s">
        <v>398</v>
      </c>
      <c r="C238" s="195">
        <f>G238/D238</f>
        <v>175.73001776198936</v>
      </c>
      <c r="D238" s="195">
        <v>28.15</v>
      </c>
      <c r="E238" s="239">
        <v>1</v>
      </c>
      <c r="F238" s="157">
        <f>ROUND(C238*D238*E238,0)-0.6</f>
        <v>4946.4</v>
      </c>
      <c r="G238" s="193">
        <v>4946.8</v>
      </c>
      <c r="I238" s="194">
        <v>2625</v>
      </c>
      <c r="J238" s="168">
        <v>105.6</v>
      </c>
      <c r="L238" s="240">
        <v>4946.8</v>
      </c>
      <c r="M238" s="240">
        <f t="shared" si="0"/>
        <v>0.4000000000005457</v>
      </c>
      <c r="N238" s="158" t="s">
        <v>698</v>
      </c>
      <c r="O238" s="158" t="s">
        <v>699</v>
      </c>
    </row>
    <row r="239" spans="1:15" s="158" customFormat="1" ht="12.75">
      <c r="A239" s="155"/>
      <c r="B239" s="170" t="s">
        <v>399</v>
      </c>
      <c r="C239" s="195">
        <f>G239/D239</f>
        <v>286.99111900532864</v>
      </c>
      <c r="D239" s="195">
        <v>28.15</v>
      </c>
      <c r="E239" s="239">
        <v>1</v>
      </c>
      <c r="F239" s="157">
        <f>ROUND(C239*D239*E239,0)-0.4</f>
        <v>8078.6</v>
      </c>
      <c r="G239" s="193">
        <v>8078.8</v>
      </c>
      <c r="I239" s="194">
        <v>8403</v>
      </c>
      <c r="J239" s="168">
        <v>338</v>
      </c>
      <c r="L239" s="240">
        <v>8078.8</v>
      </c>
      <c r="M239" s="240">
        <f t="shared" si="0"/>
        <v>0.1999999999998181</v>
      </c>
      <c r="N239" s="357" t="s">
        <v>700</v>
      </c>
      <c r="O239" s="357" t="s">
        <v>701</v>
      </c>
    </row>
    <row r="240" spans="1:15" s="158" customFormat="1" ht="12.75">
      <c r="A240" s="155"/>
      <c r="B240" s="170" t="s">
        <v>400</v>
      </c>
      <c r="C240" s="195">
        <f>G240/D240</f>
        <v>442.58063646170444</v>
      </c>
      <c r="D240" s="195">
        <v>37.08</v>
      </c>
      <c r="E240" s="239">
        <v>1</v>
      </c>
      <c r="F240" s="157">
        <f>ROUND(C240*D240*E240,0)</f>
        <v>16411</v>
      </c>
      <c r="G240" s="193">
        <v>16410.89</v>
      </c>
      <c r="I240" s="194">
        <v>13109</v>
      </c>
      <c r="J240" s="168">
        <v>401.5</v>
      </c>
      <c r="L240" s="240">
        <v>16410.89</v>
      </c>
      <c r="M240" s="240">
        <f t="shared" si="0"/>
        <v>-0.11000000000058208</v>
      </c>
      <c r="N240" s="357"/>
      <c r="O240" s="357"/>
    </row>
    <row r="241" spans="1:13" s="158" customFormat="1" ht="12.75">
      <c r="A241" s="155"/>
      <c r="B241" s="170" t="s">
        <v>401</v>
      </c>
      <c r="C241" s="195">
        <f>G241/D241</f>
        <v>29340</v>
      </c>
      <c r="D241" s="195">
        <v>5</v>
      </c>
      <c r="E241" s="239">
        <v>1</v>
      </c>
      <c r="F241" s="157">
        <f>ROUND(C241*D241*E241,2)</f>
        <v>146700</v>
      </c>
      <c r="G241" s="250">
        <v>146700</v>
      </c>
      <c r="I241" s="194">
        <v>151846</v>
      </c>
      <c r="J241" s="168">
        <v>30369</v>
      </c>
      <c r="L241" s="240">
        <v>146700</v>
      </c>
      <c r="M241" s="240">
        <f t="shared" si="0"/>
        <v>0</v>
      </c>
    </row>
    <row r="242" spans="1:16" s="158" customFormat="1" ht="24.75" customHeight="1">
      <c r="A242" s="155"/>
      <c r="B242" s="167" t="s">
        <v>287</v>
      </c>
      <c r="C242" s="168" t="s">
        <v>28</v>
      </c>
      <c r="D242" s="168" t="s">
        <v>28</v>
      </c>
      <c r="E242" s="168" t="s">
        <v>28</v>
      </c>
      <c r="F242" s="157">
        <f>SUM(F237:F241)</f>
        <v>1186917</v>
      </c>
      <c r="G242" s="225">
        <f>1186917-F242</f>
        <v>0</v>
      </c>
      <c r="L242" s="240">
        <v>1205327.49</v>
      </c>
      <c r="M242" s="240">
        <f t="shared" si="0"/>
        <v>18410.48999999999</v>
      </c>
      <c r="P242" s="158" t="s">
        <v>702</v>
      </c>
    </row>
    <row r="243" ht="12" customHeight="1"/>
    <row r="244" spans="1:7" s="144" customFormat="1" ht="15" hidden="1">
      <c r="A244" s="318" t="s">
        <v>340</v>
      </c>
      <c r="B244" s="318"/>
      <c r="C244" s="318"/>
      <c r="D244" s="318"/>
      <c r="E244" s="318"/>
      <c r="F244" s="318"/>
      <c r="G244" s="143"/>
    </row>
    <row r="245" ht="10.5" customHeight="1" hidden="1"/>
    <row r="246" spans="1:6" s="151" customFormat="1" ht="45" customHeight="1" hidden="1">
      <c r="A246" s="150" t="s">
        <v>249</v>
      </c>
      <c r="B246" s="328" t="s">
        <v>20</v>
      </c>
      <c r="C246" s="328"/>
      <c r="D246" s="150" t="s">
        <v>341</v>
      </c>
      <c r="E246" s="150" t="s">
        <v>342</v>
      </c>
      <c r="F246" s="150" t="s">
        <v>343</v>
      </c>
    </row>
    <row r="247" spans="1:6" s="154" customFormat="1" ht="12.75" hidden="1">
      <c r="A247" s="152">
        <v>1</v>
      </c>
      <c r="B247" s="328">
        <v>2</v>
      </c>
      <c r="C247" s="328"/>
      <c r="D247" s="152">
        <v>4</v>
      </c>
      <c r="E247" s="152">
        <v>5</v>
      </c>
      <c r="F247" s="152">
        <v>6</v>
      </c>
    </row>
    <row r="248" spans="1:6" s="158" customFormat="1" ht="15" customHeight="1" hidden="1">
      <c r="A248" s="155"/>
      <c r="B248" s="328"/>
      <c r="C248" s="328"/>
      <c r="D248" s="168"/>
      <c r="E248" s="168"/>
      <c r="F248" s="183">
        <f>ROUND(D248*E248,0)</f>
        <v>0</v>
      </c>
    </row>
    <row r="249" spans="1:6" s="158" customFormat="1" ht="15" customHeight="1" hidden="1">
      <c r="A249" s="155"/>
      <c r="B249" s="328"/>
      <c r="C249" s="328"/>
      <c r="D249" s="168"/>
      <c r="E249" s="168"/>
      <c r="F249" s="183">
        <f>ROUND(D249*E249,0)</f>
        <v>0</v>
      </c>
    </row>
    <row r="250" spans="1:6" s="158" customFormat="1" ht="15" customHeight="1" hidden="1">
      <c r="A250" s="155"/>
      <c r="B250" s="335" t="s">
        <v>287</v>
      </c>
      <c r="C250" s="335"/>
      <c r="D250" s="168" t="s">
        <v>28</v>
      </c>
      <c r="E250" s="168" t="s">
        <v>28</v>
      </c>
      <c r="F250" s="183">
        <f>SUM(F248:F249)</f>
        <v>0</v>
      </c>
    </row>
    <row r="251" ht="12" customHeight="1" hidden="1"/>
    <row r="252" spans="1:7" s="144" customFormat="1" ht="15">
      <c r="A252" s="318" t="s">
        <v>344</v>
      </c>
      <c r="B252" s="318"/>
      <c r="C252" s="318"/>
      <c r="D252" s="318"/>
      <c r="E252" s="318"/>
      <c r="F252" s="318"/>
      <c r="G252" s="143"/>
    </row>
    <row r="253" ht="10.5" customHeight="1"/>
    <row r="254" spans="1:6" s="151" customFormat="1" ht="36">
      <c r="A254" s="181" t="s">
        <v>249</v>
      </c>
      <c r="B254" s="340" t="s">
        <v>320</v>
      </c>
      <c r="C254" s="340"/>
      <c r="D254" s="181" t="s">
        <v>345</v>
      </c>
      <c r="E254" s="181" t="s">
        <v>346</v>
      </c>
      <c r="F254" s="181" t="s">
        <v>347</v>
      </c>
    </row>
    <row r="255" spans="1:6" s="154" customFormat="1" ht="12.75">
      <c r="A255" s="152">
        <v>1</v>
      </c>
      <c r="B255" s="328">
        <v>2</v>
      </c>
      <c r="C255" s="328"/>
      <c r="D255" s="152">
        <v>3</v>
      </c>
      <c r="E255" s="152">
        <v>4</v>
      </c>
      <c r="F255" s="152">
        <v>5</v>
      </c>
    </row>
    <row r="256" spans="1:15" s="158" customFormat="1" ht="15" customHeight="1">
      <c r="A256" s="155"/>
      <c r="B256" s="335" t="s">
        <v>402</v>
      </c>
      <c r="C256" s="335"/>
      <c r="D256" s="168" t="s">
        <v>435</v>
      </c>
      <c r="E256" s="168">
        <v>5</v>
      </c>
      <c r="F256" s="157">
        <f>24831.54</f>
        <v>24831.54</v>
      </c>
      <c r="N256" s="357">
        <v>36263.06</v>
      </c>
      <c r="O256" s="357" t="s">
        <v>703</v>
      </c>
    </row>
    <row r="257" spans="1:15" s="158" customFormat="1" ht="15" customHeight="1">
      <c r="A257" s="155"/>
      <c r="B257" s="335" t="s">
        <v>403</v>
      </c>
      <c r="C257" s="335"/>
      <c r="D257" s="168" t="s">
        <v>435</v>
      </c>
      <c r="E257" s="168">
        <v>2</v>
      </c>
      <c r="F257" s="157">
        <f>11431.52</f>
        <v>11431.52</v>
      </c>
      <c r="N257" s="357"/>
      <c r="O257" s="357"/>
    </row>
    <row r="258" spans="1:6" s="158" customFormat="1" ht="15" customHeight="1" hidden="1">
      <c r="A258" s="155"/>
      <c r="B258" s="337" t="s">
        <v>404</v>
      </c>
      <c r="C258" s="339"/>
      <c r="D258" s="168"/>
      <c r="E258" s="168"/>
      <c r="F258" s="157"/>
    </row>
    <row r="259" spans="1:7" s="158" customFormat="1" ht="15" customHeight="1">
      <c r="A259" s="215"/>
      <c r="B259" s="348" t="s">
        <v>405</v>
      </c>
      <c r="C259" s="348"/>
      <c r="D259" s="214" t="s">
        <v>436</v>
      </c>
      <c r="E259" s="214"/>
      <c r="F259" s="223">
        <f>12934</f>
        <v>12934</v>
      </c>
      <c r="G259" s="225">
        <f>SUM(F256:F259)-55200</f>
        <v>-6002.940000000002</v>
      </c>
    </row>
    <row r="260" spans="1:6" s="158" customFormat="1" ht="12.75">
      <c r="A260" s="215"/>
      <c r="B260" s="348" t="s">
        <v>714</v>
      </c>
      <c r="C260" s="348"/>
      <c r="D260" s="348"/>
      <c r="E260" s="214"/>
      <c r="F260" s="223">
        <v>5800</v>
      </c>
    </row>
    <row r="261" spans="1:6" s="158" customFormat="1" ht="12.75">
      <c r="A261" s="215"/>
      <c r="B261" s="348" t="s">
        <v>406</v>
      </c>
      <c r="C261" s="348"/>
      <c r="D261" s="214"/>
      <c r="E261" s="214"/>
      <c r="F261" s="223"/>
    </row>
    <row r="262" spans="1:15" s="158" customFormat="1" ht="15" customHeight="1">
      <c r="A262" s="215"/>
      <c r="B262" s="348" t="s">
        <v>407</v>
      </c>
      <c r="C262" s="348"/>
      <c r="D262" s="214" t="s">
        <v>437</v>
      </c>
      <c r="E262" s="214"/>
      <c r="F262" s="223">
        <f>13900</f>
        <v>13900</v>
      </c>
      <c r="O262" s="158" t="s">
        <v>704</v>
      </c>
    </row>
    <row r="263" spans="1:15" s="158" customFormat="1" ht="15" customHeight="1">
      <c r="A263" s="215"/>
      <c r="B263" s="348" t="s">
        <v>408</v>
      </c>
      <c r="C263" s="348"/>
      <c r="D263" s="214" t="s">
        <v>711</v>
      </c>
      <c r="E263" s="214" t="s">
        <v>712</v>
      </c>
      <c r="F263" s="223">
        <v>12400</v>
      </c>
      <c r="G263" s="188">
        <f>SUM(F261:F266)-163208</f>
        <v>-47708</v>
      </c>
      <c r="O263" s="158" t="s">
        <v>705</v>
      </c>
    </row>
    <row r="264" spans="1:7" s="158" customFormat="1" ht="12.75">
      <c r="A264" s="215"/>
      <c r="B264" s="348" t="s">
        <v>409</v>
      </c>
      <c r="C264" s="348"/>
      <c r="D264" s="214"/>
      <c r="E264" s="214"/>
      <c r="F264" s="223">
        <v>4500</v>
      </c>
      <c r="G264" s="188"/>
    </row>
    <row r="265" spans="1:14" s="158" customFormat="1" ht="12.75">
      <c r="A265" s="215"/>
      <c r="B265" s="348" t="s">
        <v>692</v>
      </c>
      <c r="C265" s="348"/>
      <c r="D265" s="214"/>
      <c r="E265" s="214"/>
      <c r="F265" s="223">
        <v>3100</v>
      </c>
      <c r="N265"/>
    </row>
    <row r="266" spans="1:14" s="158" customFormat="1" ht="15" customHeight="1">
      <c r="A266" s="215"/>
      <c r="B266" s="348" t="s">
        <v>410</v>
      </c>
      <c r="C266" s="348"/>
      <c r="D266" s="214"/>
      <c r="E266" s="214"/>
      <c r="F266" s="223">
        <f>39568+14000+28032</f>
        <v>81600</v>
      </c>
      <c r="G266" s="188"/>
      <c r="N266"/>
    </row>
    <row r="267" spans="1:14" s="158" customFormat="1" ht="15" customHeight="1" hidden="1">
      <c r="A267" s="215"/>
      <c r="B267" s="348" t="s">
        <v>411</v>
      </c>
      <c r="C267" s="348"/>
      <c r="D267" s="214"/>
      <c r="E267" s="214"/>
      <c r="F267" s="223"/>
      <c r="N267"/>
    </row>
    <row r="268" spans="1:14" s="158" customFormat="1" ht="15" customHeight="1" hidden="1">
      <c r="A268" s="215"/>
      <c r="B268" s="348" t="s">
        <v>412</v>
      </c>
      <c r="C268" s="348"/>
      <c r="D268" s="214" t="s">
        <v>413</v>
      </c>
      <c r="E268" s="214"/>
      <c r="F268" s="223"/>
      <c r="N268"/>
    </row>
    <row r="269" spans="1:14" s="158" customFormat="1" ht="15" customHeight="1">
      <c r="A269" s="215"/>
      <c r="B269" s="348" t="s">
        <v>414</v>
      </c>
      <c r="C269" s="348"/>
      <c r="D269" s="214"/>
      <c r="E269" s="214"/>
      <c r="F269" s="223">
        <f>60000-5374+1539.84+6342-18499.06</f>
        <v>44008.78</v>
      </c>
      <c r="N269"/>
    </row>
    <row r="270" spans="1:14" s="158" customFormat="1" ht="12.75" customHeight="1" hidden="1">
      <c r="A270" s="215"/>
      <c r="B270" s="341" t="s">
        <v>415</v>
      </c>
      <c r="C270" s="343"/>
      <c r="D270" s="214"/>
      <c r="E270" s="214"/>
      <c r="F270" s="223"/>
      <c r="N270"/>
    </row>
    <row r="271" spans="1:14" s="158" customFormat="1" ht="12.75">
      <c r="A271" s="215"/>
      <c r="B271" s="348" t="s">
        <v>416</v>
      </c>
      <c r="C271" s="348"/>
      <c r="D271" s="214"/>
      <c r="E271" s="214"/>
      <c r="F271" s="223">
        <f>1374+2426</f>
        <v>3800</v>
      </c>
      <c r="G271" s="188"/>
      <c r="N271"/>
    </row>
    <row r="272" spans="1:7" s="158" customFormat="1" ht="27" customHeight="1">
      <c r="A272" s="215"/>
      <c r="B272" s="348" t="s">
        <v>417</v>
      </c>
      <c r="C272" s="348"/>
      <c r="D272" s="214"/>
      <c r="E272" s="214"/>
      <c r="F272" s="223">
        <v>60000</v>
      </c>
      <c r="G272" s="225">
        <f>SUM(F268:F274)-131539.84</f>
        <v>-3131.0599999999977</v>
      </c>
    </row>
    <row r="273" spans="1:6" s="158" customFormat="1" ht="15" customHeight="1">
      <c r="A273" s="215"/>
      <c r="B273" s="341" t="s">
        <v>693</v>
      </c>
      <c r="C273" s="343"/>
      <c r="D273" s="214">
        <v>1</v>
      </c>
      <c r="E273" s="214">
        <v>1</v>
      </c>
      <c r="F273" s="223">
        <v>2400</v>
      </c>
    </row>
    <row r="274" spans="1:6" s="158" customFormat="1" ht="15" customHeight="1">
      <c r="A274" s="215"/>
      <c r="B274" s="341" t="s">
        <v>694</v>
      </c>
      <c r="C274" s="343"/>
      <c r="D274" s="214"/>
      <c r="E274" s="214"/>
      <c r="F274" s="223">
        <v>18200</v>
      </c>
    </row>
    <row r="275" spans="1:6" s="158" customFormat="1" ht="15" customHeight="1" hidden="1">
      <c r="A275" s="215"/>
      <c r="B275" s="347"/>
      <c r="C275" s="347"/>
      <c r="D275" s="214"/>
      <c r="E275" s="214"/>
      <c r="F275" s="242">
        <f>ROUND(D275*E275,0)</f>
        <v>0</v>
      </c>
    </row>
    <row r="276" spans="1:11" s="158" customFormat="1" ht="23.25" customHeight="1" hidden="1">
      <c r="A276" s="215"/>
      <c r="B276" s="347"/>
      <c r="C276" s="347"/>
      <c r="D276" s="214"/>
      <c r="E276" s="214"/>
      <c r="F276" s="242">
        <f>ROUND(D276*E276,0)</f>
        <v>0</v>
      </c>
      <c r="H276" s="143"/>
      <c r="I276" s="143"/>
      <c r="J276" s="143"/>
      <c r="K276" s="143"/>
    </row>
    <row r="277" spans="1:16" s="158" customFormat="1" ht="15" customHeight="1">
      <c r="A277" s="215"/>
      <c r="B277" s="348" t="s">
        <v>287</v>
      </c>
      <c r="C277" s="348"/>
      <c r="D277" s="214" t="s">
        <v>28</v>
      </c>
      <c r="E277" s="214" t="s">
        <v>28</v>
      </c>
      <c r="F277" s="223">
        <f>SUM(F256:F276)</f>
        <v>298905.83999999997</v>
      </c>
      <c r="G277" s="225">
        <f>F277-298905.84</f>
        <v>0</v>
      </c>
      <c r="H277" s="144"/>
      <c r="I277" s="144"/>
      <c r="J277" s="144"/>
      <c r="K277" s="144"/>
      <c r="L277" s="240">
        <v>311604.9</v>
      </c>
      <c r="M277" s="240">
        <f>L277-F277</f>
        <v>12699.060000000056</v>
      </c>
      <c r="P277" s="158" t="s">
        <v>706</v>
      </c>
    </row>
    <row r="278" spans="1:6" ht="12" customHeight="1">
      <c r="A278" s="243"/>
      <c r="B278" s="243"/>
      <c r="C278" s="243"/>
      <c r="D278" s="243"/>
      <c r="E278" s="243"/>
      <c r="F278" s="243"/>
    </row>
    <row r="279" spans="1:11" s="144" customFormat="1" ht="15">
      <c r="A279" s="349" t="s">
        <v>348</v>
      </c>
      <c r="B279" s="349"/>
      <c r="C279" s="349"/>
      <c r="D279" s="349"/>
      <c r="E279" s="349"/>
      <c r="F279" s="349"/>
      <c r="G279" s="143"/>
      <c r="H279" s="143"/>
      <c r="I279" s="143"/>
      <c r="J279" s="143"/>
      <c r="K279" s="143"/>
    </row>
    <row r="280" spans="1:11" ht="10.5" customHeight="1">
      <c r="A280" s="243"/>
      <c r="B280" s="243"/>
      <c r="C280" s="243"/>
      <c r="D280" s="243"/>
      <c r="E280" s="243"/>
      <c r="F280" s="243"/>
      <c r="H280" s="141"/>
      <c r="I280" s="141"/>
      <c r="J280" s="141"/>
      <c r="K280" s="141"/>
    </row>
    <row r="281" spans="1:6" ht="24">
      <c r="A281" s="244" t="s">
        <v>249</v>
      </c>
      <c r="B281" s="350" t="s">
        <v>320</v>
      </c>
      <c r="C281" s="350"/>
      <c r="D281" s="350"/>
      <c r="E281" s="244" t="s">
        <v>349</v>
      </c>
      <c r="F281" s="244" t="s">
        <v>350</v>
      </c>
    </row>
    <row r="282" spans="1:11" s="141" customFormat="1" ht="15">
      <c r="A282" s="245">
        <v>1</v>
      </c>
      <c r="B282" s="347">
        <v>2</v>
      </c>
      <c r="C282" s="347"/>
      <c r="D282" s="347"/>
      <c r="E282" s="245">
        <v>3</v>
      </c>
      <c r="F282" s="245">
        <v>4</v>
      </c>
      <c r="H282" s="143"/>
      <c r="I282" s="143"/>
      <c r="J282" s="143"/>
      <c r="K282" s="143"/>
    </row>
    <row r="283" spans="1:6" ht="15" customHeight="1">
      <c r="A283" s="215"/>
      <c r="B283" s="348" t="s">
        <v>418</v>
      </c>
      <c r="C283" s="348"/>
      <c r="D283" s="348"/>
      <c r="E283" s="214"/>
      <c r="F283" s="223">
        <v>49128</v>
      </c>
    </row>
    <row r="284" spans="1:6" ht="15" customHeight="1">
      <c r="A284" s="215"/>
      <c r="B284" s="341" t="s">
        <v>724</v>
      </c>
      <c r="C284" s="342"/>
      <c r="D284" s="343"/>
      <c r="E284" s="214"/>
      <c r="F284" s="223">
        <v>4272</v>
      </c>
    </row>
    <row r="285" spans="1:7" ht="15" customHeight="1">
      <c r="A285" s="215"/>
      <c r="B285" s="348" t="s">
        <v>419</v>
      </c>
      <c r="C285" s="348"/>
      <c r="D285" s="348"/>
      <c r="E285" s="214"/>
      <c r="F285" s="223">
        <v>48000</v>
      </c>
      <c r="G285" s="248">
        <f>SUM(F283:F285)-101400</f>
        <v>0</v>
      </c>
    </row>
    <row r="286" spans="1:15" ht="15" customHeight="1">
      <c r="A286" s="215"/>
      <c r="B286" s="348" t="s">
        <v>713</v>
      </c>
      <c r="C286" s="348"/>
      <c r="D286" s="348"/>
      <c r="E286" s="214"/>
      <c r="F286" s="223">
        <v>2400</v>
      </c>
      <c r="O286" s="143" t="s">
        <v>707</v>
      </c>
    </row>
    <row r="287" spans="1:7" ht="15" customHeight="1">
      <c r="A287" s="155"/>
      <c r="B287" s="335" t="s">
        <v>420</v>
      </c>
      <c r="C287" s="335"/>
      <c r="D287" s="335"/>
      <c r="E287" s="168"/>
      <c r="F287" s="157">
        <v>700</v>
      </c>
      <c r="G287" s="179">
        <f>SUM(F286:F287)</f>
        <v>3100</v>
      </c>
    </row>
    <row r="288" spans="1:6" ht="15" customHeight="1">
      <c r="A288" s="155"/>
      <c r="B288" s="335" t="s">
        <v>421</v>
      </c>
      <c r="C288" s="335"/>
      <c r="D288" s="335"/>
      <c r="E288" s="168"/>
      <c r="F288" s="157"/>
    </row>
    <row r="289" spans="1:6" ht="15" customHeight="1">
      <c r="A289" s="155"/>
      <c r="B289" s="335" t="s">
        <v>422</v>
      </c>
      <c r="C289" s="335"/>
      <c r="D289" s="335"/>
      <c r="E289" s="168"/>
      <c r="F289" s="157">
        <f>188000+22000</f>
        <v>210000</v>
      </c>
    </row>
    <row r="290" spans="1:14" ht="15" customHeight="1">
      <c r="A290" s="155"/>
      <c r="B290" s="335" t="s">
        <v>423</v>
      </c>
      <c r="C290" s="335"/>
      <c r="D290" s="335"/>
      <c r="E290" s="168"/>
      <c r="F290" s="157">
        <f>27425+15000-22000+10000</f>
        <v>30425</v>
      </c>
      <c r="N290"/>
    </row>
    <row r="291" spans="1:14" ht="15" customHeight="1">
      <c r="A291" s="155"/>
      <c r="B291" s="335" t="s">
        <v>424</v>
      </c>
      <c r="C291" s="335"/>
      <c r="D291" s="335"/>
      <c r="E291" s="168"/>
      <c r="F291" s="157">
        <f>36000-15000</f>
        <v>21000</v>
      </c>
      <c r="G291" s="143">
        <v>36000</v>
      </c>
      <c r="N291"/>
    </row>
    <row r="292" spans="1:14" ht="15" customHeight="1" hidden="1">
      <c r="A292" s="155"/>
      <c r="B292" s="335" t="s">
        <v>425</v>
      </c>
      <c r="C292" s="335"/>
      <c r="D292" s="335"/>
      <c r="E292" s="168"/>
      <c r="F292" s="157"/>
      <c r="N292"/>
    </row>
    <row r="293" spans="1:14" ht="15" customHeight="1" hidden="1">
      <c r="A293" s="155"/>
      <c r="B293" s="337" t="s">
        <v>426</v>
      </c>
      <c r="C293" s="338"/>
      <c r="D293" s="339"/>
      <c r="E293" s="168"/>
      <c r="F293" s="157"/>
      <c r="N293"/>
    </row>
    <row r="294" spans="1:14" ht="15" customHeight="1" hidden="1">
      <c r="A294" s="155"/>
      <c r="B294" s="335" t="s">
        <v>427</v>
      </c>
      <c r="C294" s="335"/>
      <c r="D294" s="335"/>
      <c r="E294" s="168"/>
      <c r="F294" s="157"/>
      <c r="N294"/>
    </row>
    <row r="295" spans="1:14" ht="15" customHeight="1">
      <c r="A295" s="155"/>
      <c r="B295" s="335" t="s">
        <v>414</v>
      </c>
      <c r="C295" s="335"/>
      <c r="D295" s="335"/>
      <c r="E295" s="168"/>
      <c r="F295" s="157">
        <f>40000+1129.73-2000+15113.3</f>
        <v>54243.03</v>
      </c>
      <c r="G295" s="179">
        <f>SUM(F290:F298)-115000</f>
        <v>-7756.970000000001</v>
      </c>
      <c r="N295"/>
    </row>
    <row r="296" spans="1:14" ht="15" customHeight="1" hidden="1">
      <c r="A296" s="155"/>
      <c r="B296" s="335" t="s">
        <v>428</v>
      </c>
      <c r="C296" s="335"/>
      <c r="D296" s="335"/>
      <c r="E296" s="168"/>
      <c r="F296" s="157"/>
      <c r="N296"/>
    </row>
    <row r="297" spans="1:15" ht="15" customHeight="1" hidden="1">
      <c r="A297" s="155"/>
      <c r="B297" s="335" t="s">
        <v>429</v>
      </c>
      <c r="C297" s="335"/>
      <c r="D297" s="335"/>
      <c r="E297" s="168"/>
      <c r="F297" s="157"/>
      <c r="N297"/>
      <c r="O297" s="143" t="s">
        <v>708</v>
      </c>
    </row>
    <row r="298" spans="1:6" ht="15" customHeight="1">
      <c r="A298" s="155"/>
      <c r="B298" s="335" t="s">
        <v>430</v>
      </c>
      <c r="C298" s="335"/>
      <c r="D298" s="335"/>
      <c r="E298" s="168"/>
      <c r="F298" s="157">
        <v>1575</v>
      </c>
    </row>
    <row r="299" spans="1:6" ht="15" customHeight="1">
      <c r="A299" s="155"/>
      <c r="B299" s="337" t="s">
        <v>729</v>
      </c>
      <c r="C299" s="338"/>
      <c r="D299" s="339"/>
      <c r="E299" s="168"/>
      <c r="F299" s="157">
        <f>1250.09*2</f>
        <v>2500.18</v>
      </c>
    </row>
    <row r="300" spans="1:6" ht="15" customHeight="1" hidden="1">
      <c r="A300" s="155"/>
      <c r="B300" s="328"/>
      <c r="C300" s="328"/>
      <c r="D300" s="328"/>
      <c r="E300" s="168"/>
      <c r="F300" s="157">
        <f>ROUND(D300*E300,0)</f>
        <v>0</v>
      </c>
    </row>
    <row r="301" spans="1:6" ht="15" customHeight="1" hidden="1">
      <c r="A301" s="155"/>
      <c r="B301" s="328"/>
      <c r="C301" s="328"/>
      <c r="D301" s="328"/>
      <c r="E301" s="168"/>
      <c r="F301" s="157">
        <f>ROUND(D301*E301,0)</f>
        <v>0</v>
      </c>
    </row>
    <row r="302" spans="1:11" ht="15" customHeight="1" hidden="1">
      <c r="A302" s="155"/>
      <c r="B302" s="328"/>
      <c r="C302" s="328"/>
      <c r="D302" s="328"/>
      <c r="E302" s="168"/>
      <c r="F302" s="157">
        <f>ROUND(D302*E302,0)</f>
        <v>0</v>
      </c>
      <c r="H302" s="144"/>
      <c r="I302" s="144"/>
      <c r="J302" s="144"/>
      <c r="K302" s="144"/>
    </row>
    <row r="303" spans="1:16" ht="15" customHeight="1">
      <c r="A303" s="155"/>
      <c r="B303" s="335" t="s">
        <v>287</v>
      </c>
      <c r="C303" s="335"/>
      <c r="D303" s="335"/>
      <c r="E303" s="168" t="s">
        <v>28</v>
      </c>
      <c r="F303" s="157">
        <f>SUM(F283:F302)</f>
        <v>424243.21</v>
      </c>
      <c r="G303" s="222">
        <f>422993.12-F303</f>
        <v>-1250.0900000000256</v>
      </c>
      <c r="L303" s="143">
        <v>414429.73</v>
      </c>
      <c r="M303" s="240">
        <f>L303-F303</f>
        <v>-9813.48000000004</v>
      </c>
      <c r="P303" s="143" t="s">
        <v>709</v>
      </c>
    </row>
    <row r="304" spans="8:11" ht="12" customHeight="1">
      <c r="H304" s="151"/>
      <c r="I304" s="151"/>
      <c r="J304" s="151"/>
      <c r="K304" s="151"/>
    </row>
    <row r="305" spans="1:16" s="144" customFormat="1" ht="15">
      <c r="A305" s="336" t="s">
        <v>351</v>
      </c>
      <c r="B305" s="336"/>
      <c r="C305" s="336"/>
      <c r="D305" s="336"/>
      <c r="E305" s="336"/>
      <c r="F305" s="336"/>
      <c r="G305" s="222">
        <f>F303+F277+F242+F223</f>
        <v>1991950.58</v>
      </c>
      <c r="H305" s="154"/>
      <c r="I305" s="154"/>
      <c r="J305" s="154"/>
      <c r="K305" s="154"/>
      <c r="L305" s="241">
        <f>L303+L277+L242+L223</f>
        <v>2007362.12</v>
      </c>
      <c r="M305" s="241">
        <f>M303+M277+M242+M223</f>
        <v>15411.540000000008</v>
      </c>
      <c r="P305" s="144" t="s">
        <v>710</v>
      </c>
    </row>
    <row r="306" spans="8:11" ht="10.5" customHeight="1">
      <c r="H306" s="158"/>
      <c r="I306" s="158"/>
      <c r="J306" s="158"/>
      <c r="K306" s="158"/>
    </row>
    <row r="307" spans="1:11" s="151" customFormat="1" ht="30" customHeight="1">
      <c r="A307" s="150" t="s">
        <v>249</v>
      </c>
      <c r="B307" s="328" t="s">
        <v>320</v>
      </c>
      <c r="C307" s="328"/>
      <c r="D307" s="150" t="s">
        <v>341</v>
      </c>
      <c r="E307" s="150" t="s">
        <v>352</v>
      </c>
      <c r="F307" s="150" t="s">
        <v>353</v>
      </c>
      <c r="H307" s="158"/>
      <c r="I307" s="158"/>
      <c r="J307" s="158"/>
      <c r="K307" s="158"/>
    </row>
    <row r="308" spans="1:11" s="154" customFormat="1" ht="12.75">
      <c r="A308" s="152"/>
      <c r="B308" s="328">
        <v>1</v>
      </c>
      <c r="C308" s="328"/>
      <c r="D308" s="152">
        <v>2</v>
      </c>
      <c r="E308" s="152">
        <v>3</v>
      </c>
      <c r="F308" s="152">
        <v>4</v>
      </c>
      <c r="H308" s="158"/>
      <c r="I308" s="158"/>
      <c r="J308" s="158"/>
      <c r="K308" s="158"/>
    </row>
    <row r="309" spans="1:6" s="158" customFormat="1" ht="15" customHeight="1">
      <c r="A309" s="215" t="s">
        <v>260</v>
      </c>
      <c r="B309" s="347" t="s">
        <v>454</v>
      </c>
      <c r="C309" s="347"/>
      <c r="D309" s="214">
        <v>8</v>
      </c>
      <c r="E309" s="214">
        <v>19</v>
      </c>
      <c r="F309" s="214">
        <f>D309*E309</f>
        <v>152</v>
      </c>
    </row>
    <row r="310" spans="1:6" s="158" customFormat="1" ht="15" customHeight="1">
      <c r="A310" s="215" t="s">
        <v>262</v>
      </c>
      <c r="B310" s="347" t="s">
        <v>455</v>
      </c>
      <c r="C310" s="347"/>
      <c r="D310" s="214">
        <v>8</v>
      </c>
      <c r="E310" s="214">
        <v>36</v>
      </c>
      <c r="F310" s="214">
        <f>D310*E310</f>
        <v>288</v>
      </c>
    </row>
    <row r="311" spans="1:6" s="158" customFormat="1" ht="15" customHeight="1">
      <c r="A311" s="215" t="s">
        <v>264</v>
      </c>
      <c r="B311" s="347" t="s">
        <v>456</v>
      </c>
      <c r="C311" s="347"/>
      <c r="D311" s="214">
        <v>20</v>
      </c>
      <c r="E311" s="214">
        <v>3</v>
      </c>
      <c r="F311" s="214">
        <f>D311*E311</f>
        <v>60</v>
      </c>
    </row>
    <row r="312" spans="1:6" s="158" customFormat="1" ht="4.5" customHeight="1">
      <c r="A312" s="207"/>
      <c r="B312" s="345"/>
      <c r="C312" s="346"/>
      <c r="D312" s="208"/>
      <c r="E312" s="208"/>
      <c r="F312" s="208"/>
    </row>
    <row r="313" spans="1:6" s="158" customFormat="1" ht="15" customHeight="1">
      <c r="A313" s="155" t="s">
        <v>260</v>
      </c>
      <c r="B313" s="328" t="s">
        <v>457</v>
      </c>
      <c r="C313" s="328"/>
      <c r="D313" s="168">
        <v>10</v>
      </c>
      <c r="E313" s="168">
        <v>370</v>
      </c>
      <c r="F313" s="168">
        <f>D313*E313</f>
        <v>3700</v>
      </c>
    </row>
    <row r="314" spans="1:6" s="158" customFormat="1" ht="15" customHeight="1">
      <c r="A314" s="155" t="s">
        <v>262</v>
      </c>
      <c r="B314" s="328" t="s">
        <v>458</v>
      </c>
      <c r="C314" s="328"/>
      <c r="D314" s="168">
        <v>2</v>
      </c>
      <c r="E314" s="168">
        <v>650</v>
      </c>
      <c r="F314" s="168">
        <f>D314*E314</f>
        <v>1300</v>
      </c>
    </row>
    <row r="315" spans="1:6" s="158" customFormat="1" ht="15" customHeight="1">
      <c r="A315" s="155" t="s">
        <v>264</v>
      </c>
      <c r="B315" s="328" t="s">
        <v>459</v>
      </c>
      <c r="C315" s="328"/>
      <c r="D315" s="168">
        <v>2</v>
      </c>
      <c r="E315" s="168">
        <v>340</v>
      </c>
      <c r="F315" s="168">
        <f>D315*E315</f>
        <v>680</v>
      </c>
    </row>
    <row r="316" spans="1:6" s="158" customFormat="1" ht="15" customHeight="1">
      <c r="A316" s="155" t="s">
        <v>265</v>
      </c>
      <c r="B316" s="328" t="s">
        <v>460</v>
      </c>
      <c r="C316" s="328"/>
      <c r="D316" s="168">
        <v>2</v>
      </c>
      <c r="E316" s="168">
        <v>700</v>
      </c>
      <c r="F316" s="168">
        <f>D316*E316</f>
        <v>1400</v>
      </c>
    </row>
    <row r="317" spans="1:6" s="158" customFormat="1" ht="15" customHeight="1">
      <c r="A317" s="155" t="s">
        <v>267</v>
      </c>
      <c r="B317" s="328" t="s">
        <v>461</v>
      </c>
      <c r="C317" s="328"/>
      <c r="D317" s="168">
        <v>1</v>
      </c>
      <c r="E317" s="168">
        <v>1450</v>
      </c>
      <c r="F317" s="168">
        <f>D317*E317</f>
        <v>1450</v>
      </c>
    </row>
    <row r="318" spans="1:6" s="158" customFormat="1" ht="15" customHeight="1">
      <c r="A318" s="155" t="s">
        <v>268</v>
      </c>
      <c r="B318" s="328" t="s">
        <v>462</v>
      </c>
      <c r="C318" s="328"/>
      <c r="D318" s="168">
        <v>72</v>
      </c>
      <c r="E318" s="168">
        <v>250</v>
      </c>
      <c r="F318" s="168">
        <v>18000</v>
      </c>
    </row>
    <row r="319" spans="1:6" s="158" customFormat="1" ht="15" customHeight="1">
      <c r="A319" s="155" t="s">
        <v>269</v>
      </c>
      <c r="B319" s="328" t="s">
        <v>463</v>
      </c>
      <c r="C319" s="328"/>
      <c r="D319" s="168">
        <v>2</v>
      </c>
      <c r="E319" s="168">
        <v>3700</v>
      </c>
      <c r="F319" s="168">
        <f aca="true" t="shared" si="1" ref="F319:F334">D319*E319</f>
        <v>7400</v>
      </c>
    </row>
    <row r="320" spans="1:6" s="158" customFormat="1" ht="15" customHeight="1">
      <c r="A320" s="155" t="s">
        <v>270</v>
      </c>
      <c r="B320" s="328" t="s">
        <v>464</v>
      </c>
      <c r="C320" s="328"/>
      <c r="D320" s="168">
        <v>14</v>
      </c>
      <c r="E320" s="168">
        <v>110</v>
      </c>
      <c r="F320" s="168">
        <f t="shared" si="1"/>
        <v>1540</v>
      </c>
    </row>
    <row r="321" spans="1:6" s="158" customFormat="1" ht="15" customHeight="1">
      <c r="A321" s="155" t="s">
        <v>271</v>
      </c>
      <c r="B321" s="328" t="s">
        <v>465</v>
      </c>
      <c r="C321" s="328"/>
      <c r="D321" s="168">
        <v>3</v>
      </c>
      <c r="E321" s="168">
        <v>287</v>
      </c>
      <c r="F321" s="168">
        <f t="shared" si="1"/>
        <v>861</v>
      </c>
    </row>
    <row r="322" spans="1:6" s="158" customFormat="1" ht="15" customHeight="1">
      <c r="A322" s="155" t="s">
        <v>272</v>
      </c>
      <c r="B322" s="328" t="s">
        <v>466</v>
      </c>
      <c r="C322" s="328"/>
      <c r="D322" s="168">
        <v>2</v>
      </c>
      <c r="E322" s="168">
        <v>110</v>
      </c>
      <c r="F322" s="168">
        <f t="shared" si="1"/>
        <v>220</v>
      </c>
    </row>
    <row r="323" spans="1:6" s="158" customFormat="1" ht="15" customHeight="1">
      <c r="A323" s="155" t="s">
        <v>273</v>
      </c>
      <c r="B323" s="328" t="s">
        <v>467</v>
      </c>
      <c r="C323" s="328"/>
      <c r="D323" s="168">
        <v>2</v>
      </c>
      <c r="E323" s="168">
        <v>150</v>
      </c>
      <c r="F323" s="168">
        <f t="shared" si="1"/>
        <v>300</v>
      </c>
    </row>
    <row r="324" spans="1:6" s="158" customFormat="1" ht="15" customHeight="1">
      <c r="A324" s="155" t="s">
        <v>274</v>
      </c>
      <c r="B324" s="328" t="s">
        <v>468</v>
      </c>
      <c r="C324" s="328"/>
      <c r="D324" s="168">
        <v>2</v>
      </c>
      <c r="E324" s="168">
        <v>165</v>
      </c>
      <c r="F324" s="168">
        <f t="shared" si="1"/>
        <v>330</v>
      </c>
    </row>
    <row r="325" spans="1:11" s="158" customFormat="1" ht="15" customHeight="1">
      <c r="A325" s="155" t="s">
        <v>276</v>
      </c>
      <c r="B325" s="328" t="s">
        <v>469</v>
      </c>
      <c r="C325" s="328"/>
      <c r="D325" s="168">
        <v>6</v>
      </c>
      <c r="E325" s="168">
        <v>45</v>
      </c>
      <c r="F325" s="168">
        <f t="shared" si="1"/>
        <v>270</v>
      </c>
      <c r="H325" s="143"/>
      <c r="I325" s="143"/>
      <c r="J325" s="143"/>
      <c r="K325" s="143"/>
    </row>
    <row r="326" spans="1:11" s="158" customFormat="1" ht="15" customHeight="1">
      <c r="A326" s="155" t="s">
        <v>278</v>
      </c>
      <c r="B326" s="328" t="s">
        <v>470</v>
      </c>
      <c r="C326" s="328"/>
      <c r="D326" s="168">
        <v>2</v>
      </c>
      <c r="E326" s="168">
        <v>410</v>
      </c>
      <c r="F326" s="168">
        <f t="shared" si="1"/>
        <v>820</v>
      </c>
      <c r="H326" s="143"/>
      <c r="I326" s="143"/>
      <c r="J326" s="143"/>
      <c r="K326" s="143"/>
    </row>
    <row r="327" spans="1:11" s="158" customFormat="1" ht="15" customHeight="1">
      <c r="A327" s="155" t="s">
        <v>280</v>
      </c>
      <c r="B327" s="328" t="s">
        <v>471</v>
      </c>
      <c r="C327" s="328"/>
      <c r="D327" s="168">
        <v>1</v>
      </c>
      <c r="E327" s="168">
        <v>230</v>
      </c>
      <c r="F327" s="168">
        <f t="shared" si="1"/>
        <v>230</v>
      </c>
      <c r="H327" s="143"/>
      <c r="I327" s="143"/>
      <c r="J327" s="143"/>
      <c r="K327" s="143"/>
    </row>
    <row r="328" spans="1:11" s="158" customFormat="1" ht="15" customHeight="1">
      <c r="A328" s="155" t="s">
        <v>282</v>
      </c>
      <c r="B328" s="328" t="s">
        <v>472</v>
      </c>
      <c r="C328" s="328"/>
      <c r="D328" s="168">
        <v>2</v>
      </c>
      <c r="E328" s="168">
        <v>95</v>
      </c>
      <c r="F328" s="168">
        <f t="shared" si="1"/>
        <v>190</v>
      </c>
      <c r="H328" s="143"/>
      <c r="I328" s="143"/>
      <c r="J328" s="143"/>
      <c r="K328" s="143"/>
    </row>
    <row r="329" spans="1:11" s="158" customFormat="1" ht="15" customHeight="1">
      <c r="A329" s="155" t="s">
        <v>283</v>
      </c>
      <c r="B329" s="328" t="s">
        <v>473</v>
      </c>
      <c r="C329" s="328"/>
      <c r="D329" s="168">
        <v>4</v>
      </c>
      <c r="E329" s="168">
        <v>30</v>
      </c>
      <c r="F329" s="168">
        <f t="shared" si="1"/>
        <v>120</v>
      </c>
      <c r="H329" s="143"/>
      <c r="I329" s="143"/>
      <c r="J329" s="143"/>
      <c r="K329" s="143"/>
    </row>
    <row r="330" spans="1:11" s="158" customFormat="1" ht="15" customHeight="1">
      <c r="A330" s="155" t="s">
        <v>285</v>
      </c>
      <c r="B330" s="328" t="s">
        <v>474</v>
      </c>
      <c r="C330" s="328"/>
      <c r="D330" s="168">
        <v>1</v>
      </c>
      <c r="E330" s="168">
        <v>295</v>
      </c>
      <c r="F330" s="168">
        <f t="shared" si="1"/>
        <v>295</v>
      </c>
      <c r="H330" s="143"/>
      <c r="I330" s="143"/>
      <c r="J330" s="143"/>
      <c r="K330" s="143"/>
    </row>
    <row r="331" spans="1:11" s="158" customFormat="1" ht="15" customHeight="1">
      <c r="A331" s="155" t="s">
        <v>475</v>
      </c>
      <c r="B331" s="328" t="s">
        <v>476</v>
      </c>
      <c r="C331" s="328"/>
      <c r="D331" s="168">
        <v>2</v>
      </c>
      <c r="E331" s="168">
        <v>77</v>
      </c>
      <c r="F331" s="168">
        <f t="shared" si="1"/>
        <v>154</v>
      </c>
      <c r="H331" s="143"/>
      <c r="I331" s="143"/>
      <c r="J331" s="143"/>
      <c r="K331" s="143"/>
    </row>
    <row r="332" spans="1:11" s="158" customFormat="1" ht="15" customHeight="1">
      <c r="A332" s="155" t="s">
        <v>477</v>
      </c>
      <c r="B332" s="328" t="s">
        <v>478</v>
      </c>
      <c r="C332" s="328"/>
      <c r="D332" s="168">
        <v>4</v>
      </c>
      <c r="E332" s="168">
        <v>30</v>
      </c>
      <c r="F332" s="168">
        <f t="shared" si="1"/>
        <v>120</v>
      </c>
      <c r="H332" s="143"/>
      <c r="I332" s="143"/>
      <c r="J332" s="143"/>
      <c r="K332" s="143"/>
    </row>
    <row r="333" spans="1:11" s="158" customFormat="1" ht="15" customHeight="1">
      <c r="A333" s="155" t="s">
        <v>479</v>
      </c>
      <c r="B333" s="328" t="s">
        <v>480</v>
      </c>
      <c r="C333" s="328"/>
      <c r="D333" s="168">
        <v>1</v>
      </c>
      <c r="E333" s="168">
        <v>250</v>
      </c>
      <c r="F333" s="168">
        <f t="shared" si="1"/>
        <v>250</v>
      </c>
      <c r="H333" s="143"/>
      <c r="I333" s="143"/>
      <c r="J333" s="143"/>
      <c r="K333" s="143"/>
    </row>
    <row r="334" spans="1:11" s="158" customFormat="1" ht="15" customHeight="1">
      <c r="A334" s="155" t="s">
        <v>481</v>
      </c>
      <c r="B334" s="328" t="s">
        <v>480</v>
      </c>
      <c r="C334" s="328"/>
      <c r="D334" s="168">
        <v>1</v>
      </c>
      <c r="E334" s="168">
        <v>370</v>
      </c>
      <c r="F334" s="168">
        <f t="shared" si="1"/>
        <v>370</v>
      </c>
      <c r="H334" s="143"/>
      <c r="I334" s="143"/>
      <c r="J334" s="143"/>
      <c r="K334" s="143"/>
    </row>
    <row r="335" spans="1:11" s="158" customFormat="1" ht="4.5" customHeight="1" hidden="1">
      <c r="A335" s="155"/>
      <c r="B335" s="150"/>
      <c r="C335" s="150"/>
      <c r="D335" s="168"/>
      <c r="E335" s="168"/>
      <c r="F335" s="168"/>
      <c r="H335" s="143"/>
      <c r="I335" s="143"/>
      <c r="J335" s="143"/>
      <c r="K335" s="143"/>
    </row>
    <row r="336" spans="1:11" s="158" customFormat="1" ht="15" customHeight="1">
      <c r="A336" s="155" t="s">
        <v>260</v>
      </c>
      <c r="B336" s="328" t="s">
        <v>482</v>
      </c>
      <c r="C336" s="328"/>
      <c r="D336" s="168">
        <v>10</v>
      </c>
      <c r="E336" s="168">
        <v>680</v>
      </c>
      <c r="F336" s="168">
        <f>D336*E336-3800</f>
        <v>3000</v>
      </c>
      <c r="H336" s="143"/>
      <c r="I336" s="143"/>
      <c r="J336" s="143"/>
      <c r="K336" s="143"/>
    </row>
    <row r="337" spans="1:11" s="158" customFormat="1" ht="15" customHeight="1">
      <c r="A337" s="155" t="s">
        <v>262</v>
      </c>
      <c r="B337" s="329" t="s">
        <v>483</v>
      </c>
      <c r="C337" s="331"/>
      <c r="D337" s="168">
        <v>2</v>
      </c>
      <c r="E337" s="168">
        <v>2560</v>
      </c>
      <c r="F337" s="168">
        <f aca="true" t="shared" si="2" ref="F337:F345">D337*E337</f>
        <v>5120</v>
      </c>
      <c r="H337" s="143"/>
      <c r="I337" s="143"/>
      <c r="J337" s="143"/>
      <c r="K337" s="143"/>
    </row>
    <row r="338" spans="1:11" s="158" customFormat="1" ht="15" customHeight="1">
      <c r="A338" s="155" t="s">
        <v>264</v>
      </c>
      <c r="B338" s="328" t="s">
        <v>484</v>
      </c>
      <c r="C338" s="328"/>
      <c r="D338" s="168">
        <v>4</v>
      </c>
      <c r="E338" s="168">
        <v>680</v>
      </c>
      <c r="F338" s="168">
        <f t="shared" si="2"/>
        <v>2720</v>
      </c>
      <c r="H338" s="143"/>
      <c r="I338" s="143"/>
      <c r="J338" s="143"/>
      <c r="K338" s="143"/>
    </row>
    <row r="339" spans="1:11" s="158" customFormat="1" ht="15" customHeight="1">
      <c r="A339" s="155" t="s">
        <v>265</v>
      </c>
      <c r="B339" s="328" t="s">
        <v>485</v>
      </c>
      <c r="C339" s="328"/>
      <c r="D339" s="168">
        <v>2</v>
      </c>
      <c r="E339" s="168">
        <v>720</v>
      </c>
      <c r="F339" s="168">
        <f t="shared" si="2"/>
        <v>1440</v>
      </c>
      <c r="H339" s="143"/>
      <c r="I339" s="143"/>
      <c r="J339" s="143"/>
      <c r="K339" s="143"/>
    </row>
    <row r="340" spans="1:11" s="158" customFormat="1" ht="15" customHeight="1">
      <c r="A340" s="155" t="s">
        <v>267</v>
      </c>
      <c r="B340" s="328" t="s">
        <v>486</v>
      </c>
      <c r="C340" s="328"/>
      <c r="D340" s="168">
        <v>1</v>
      </c>
      <c r="E340" s="168">
        <v>8950</v>
      </c>
      <c r="F340" s="168">
        <f t="shared" si="2"/>
        <v>8950</v>
      </c>
      <c r="H340" s="143"/>
      <c r="I340" s="143"/>
      <c r="J340" s="143"/>
      <c r="K340" s="143"/>
    </row>
    <row r="341" spans="1:11" s="158" customFormat="1" ht="15" customHeight="1">
      <c r="A341" s="155" t="s">
        <v>268</v>
      </c>
      <c r="B341" s="328" t="s">
        <v>487</v>
      </c>
      <c r="C341" s="328"/>
      <c r="D341" s="168">
        <v>2</v>
      </c>
      <c r="E341" s="168">
        <v>1020</v>
      </c>
      <c r="F341" s="168">
        <f t="shared" si="2"/>
        <v>2040</v>
      </c>
      <c r="H341" s="143"/>
      <c r="I341" s="143"/>
      <c r="J341" s="143"/>
      <c r="K341" s="143"/>
    </row>
    <row r="342" spans="1:11" s="158" customFormat="1" ht="15" customHeight="1">
      <c r="A342" s="155" t="s">
        <v>269</v>
      </c>
      <c r="B342" s="329" t="s">
        <v>488</v>
      </c>
      <c r="C342" s="331"/>
      <c r="D342" s="168">
        <v>1</v>
      </c>
      <c r="E342" s="168">
        <v>9200</v>
      </c>
      <c r="F342" s="168">
        <f t="shared" si="2"/>
        <v>9200</v>
      </c>
      <c r="H342" s="143"/>
      <c r="I342" s="143"/>
      <c r="J342" s="143"/>
      <c r="K342" s="143"/>
    </row>
    <row r="343" spans="1:11" s="158" customFormat="1" ht="15" customHeight="1">
      <c r="A343" s="155" t="s">
        <v>270</v>
      </c>
      <c r="B343" s="328" t="s">
        <v>489</v>
      </c>
      <c r="C343" s="328"/>
      <c r="D343" s="168">
        <v>2</v>
      </c>
      <c r="E343" s="168">
        <v>1145</v>
      </c>
      <c r="F343" s="168">
        <f t="shared" si="2"/>
        <v>2290</v>
      </c>
      <c r="H343" s="143"/>
      <c r="I343" s="143"/>
      <c r="J343" s="143"/>
      <c r="K343" s="143"/>
    </row>
    <row r="344" spans="1:11" s="158" customFormat="1" ht="15" customHeight="1">
      <c r="A344" s="155" t="s">
        <v>271</v>
      </c>
      <c r="B344" s="328" t="s">
        <v>490</v>
      </c>
      <c r="C344" s="328"/>
      <c r="D344" s="168">
        <v>1</v>
      </c>
      <c r="E344" s="168">
        <v>980</v>
      </c>
      <c r="F344" s="168">
        <f t="shared" si="2"/>
        <v>980</v>
      </c>
      <c r="H344" s="143"/>
      <c r="I344" s="143"/>
      <c r="J344" s="143"/>
      <c r="K344" s="143"/>
    </row>
    <row r="345" spans="1:11" s="158" customFormat="1" ht="15" customHeight="1">
      <c r="A345" s="155" t="s">
        <v>272</v>
      </c>
      <c r="B345" s="328" t="s">
        <v>491</v>
      </c>
      <c r="C345" s="328"/>
      <c r="D345" s="168">
        <v>1</v>
      </c>
      <c r="E345" s="168">
        <v>460</v>
      </c>
      <c r="F345" s="168">
        <f t="shared" si="2"/>
        <v>460</v>
      </c>
      <c r="H345" s="143"/>
      <c r="I345" s="143"/>
      <c r="J345" s="143"/>
      <c r="K345" s="143"/>
    </row>
    <row r="346" spans="1:11" s="158" customFormat="1" ht="15" customHeight="1" hidden="1">
      <c r="A346" s="155"/>
      <c r="B346" s="204"/>
      <c r="C346" s="205"/>
      <c r="D346" s="168"/>
      <c r="E346" s="168"/>
      <c r="F346" s="168"/>
      <c r="H346" s="143"/>
      <c r="I346" s="143"/>
      <c r="J346" s="143"/>
      <c r="K346" s="143"/>
    </row>
    <row r="347" spans="1:11" s="158" customFormat="1" ht="15" customHeight="1">
      <c r="A347" s="155" t="s">
        <v>260</v>
      </c>
      <c r="B347" s="329" t="s">
        <v>492</v>
      </c>
      <c r="C347" s="331"/>
      <c r="D347" s="168">
        <v>48</v>
      </c>
      <c r="E347" s="168">
        <v>65</v>
      </c>
      <c r="F347" s="168">
        <f aca="true" t="shared" si="3" ref="F347:F354">D347*E347</f>
        <v>3120</v>
      </c>
      <c r="H347" s="143"/>
      <c r="I347" s="143"/>
      <c r="J347" s="143"/>
      <c r="K347" s="143"/>
    </row>
    <row r="348" spans="1:11" s="158" customFormat="1" ht="15" customHeight="1">
      <c r="A348" s="155" t="s">
        <v>262</v>
      </c>
      <c r="B348" s="329" t="s">
        <v>493</v>
      </c>
      <c r="C348" s="331"/>
      <c r="D348" s="168">
        <v>2</v>
      </c>
      <c r="E348" s="168">
        <v>282</v>
      </c>
      <c r="F348" s="168">
        <f t="shared" si="3"/>
        <v>564</v>
      </c>
      <c r="H348" s="143"/>
      <c r="I348" s="143"/>
      <c r="J348" s="143"/>
      <c r="K348" s="143"/>
    </row>
    <row r="349" spans="1:11" s="158" customFormat="1" ht="15" customHeight="1">
      <c r="A349" s="155" t="s">
        <v>264</v>
      </c>
      <c r="B349" s="328" t="s">
        <v>494</v>
      </c>
      <c r="C349" s="328"/>
      <c r="D349" s="168">
        <v>24</v>
      </c>
      <c r="E349" s="168">
        <v>59</v>
      </c>
      <c r="F349" s="168">
        <f t="shared" si="3"/>
        <v>1416</v>
      </c>
      <c r="H349" s="143"/>
      <c r="I349" s="143"/>
      <c r="J349" s="143"/>
      <c r="K349" s="143"/>
    </row>
    <row r="350" spans="1:11" s="158" customFormat="1" ht="15" customHeight="1">
      <c r="A350" s="155" t="s">
        <v>265</v>
      </c>
      <c r="B350" s="328" t="s">
        <v>495</v>
      </c>
      <c r="C350" s="328"/>
      <c r="D350" s="168">
        <v>2</v>
      </c>
      <c r="E350" s="168">
        <v>2400</v>
      </c>
      <c r="F350" s="168">
        <f t="shared" si="3"/>
        <v>4800</v>
      </c>
      <c r="H350" s="143"/>
      <c r="I350" s="143"/>
      <c r="J350" s="143"/>
      <c r="K350" s="143"/>
    </row>
    <row r="351" spans="1:11" s="158" customFormat="1" ht="15" customHeight="1">
      <c r="A351" s="155" t="s">
        <v>267</v>
      </c>
      <c r="B351" s="328" t="s">
        <v>496</v>
      </c>
      <c r="C351" s="328"/>
      <c r="D351" s="168">
        <v>1</v>
      </c>
      <c r="E351" s="168">
        <v>3600</v>
      </c>
      <c r="F351" s="168">
        <f t="shared" si="3"/>
        <v>3600</v>
      </c>
      <c r="H351" s="143"/>
      <c r="I351" s="143"/>
      <c r="J351" s="143"/>
      <c r="K351" s="143"/>
    </row>
    <row r="352" spans="1:11" s="158" customFormat="1" ht="15" customHeight="1">
      <c r="A352" s="155" t="s">
        <v>268</v>
      </c>
      <c r="B352" s="328" t="s">
        <v>497</v>
      </c>
      <c r="C352" s="328"/>
      <c r="D352" s="168">
        <v>4</v>
      </c>
      <c r="E352" s="168">
        <v>650</v>
      </c>
      <c r="F352" s="168">
        <f t="shared" si="3"/>
        <v>2600</v>
      </c>
      <c r="H352" s="143"/>
      <c r="I352" s="143"/>
      <c r="J352" s="143"/>
      <c r="K352" s="143"/>
    </row>
    <row r="353" spans="1:11" s="158" customFormat="1" ht="15" customHeight="1">
      <c r="A353" s="155" t="s">
        <v>269</v>
      </c>
      <c r="B353" s="328" t="s">
        <v>498</v>
      </c>
      <c r="C353" s="328"/>
      <c r="D353" s="168">
        <v>25</v>
      </c>
      <c r="E353" s="168">
        <v>38</v>
      </c>
      <c r="F353" s="168">
        <f t="shared" si="3"/>
        <v>950</v>
      </c>
      <c r="H353" s="143"/>
      <c r="I353" s="143"/>
      <c r="J353" s="143"/>
      <c r="K353" s="143"/>
    </row>
    <row r="354" spans="1:11" s="158" customFormat="1" ht="15" customHeight="1">
      <c r="A354" s="155" t="s">
        <v>270</v>
      </c>
      <c r="B354" s="328" t="s">
        <v>499</v>
      </c>
      <c r="C354" s="328"/>
      <c r="D354" s="168">
        <v>1</v>
      </c>
      <c r="E354" s="168">
        <v>950</v>
      </c>
      <c r="F354" s="168">
        <f t="shared" si="3"/>
        <v>950</v>
      </c>
      <c r="H354" s="143"/>
      <c r="I354" s="143"/>
      <c r="J354" s="143"/>
      <c r="K354" s="143"/>
    </row>
    <row r="355" spans="1:11" s="158" customFormat="1" ht="5.25" customHeight="1" hidden="1">
      <c r="A355" s="155"/>
      <c r="B355" s="150"/>
      <c r="C355" s="150"/>
      <c r="D355" s="168"/>
      <c r="E355" s="168"/>
      <c r="F355" s="168"/>
      <c r="H355" s="143"/>
      <c r="I355" s="143"/>
      <c r="J355" s="143"/>
      <c r="K355" s="143"/>
    </row>
    <row r="356" spans="1:11" s="158" customFormat="1" ht="15" customHeight="1">
      <c r="A356" s="155" t="s">
        <v>260</v>
      </c>
      <c r="B356" s="328" t="s">
        <v>500</v>
      </c>
      <c r="C356" s="328"/>
      <c r="D356" s="168">
        <v>10</v>
      </c>
      <c r="E356" s="168">
        <v>220</v>
      </c>
      <c r="F356" s="168">
        <f aca="true" t="shared" si="4" ref="F356:F369">D356*E356</f>
        <v>2200</v>
      </c>
      <c r="H356" s="143"/>
      <c r="I356" s="143"/>
      <c r="J356" s="143"/>
      <c r="K356" s="143"/>
    </row>
    <row r="357" spans="1:11" s="158" customFormat="1" ht="15" customHeight="1">
      <c r="A357" s="155" t="s">
        <v>262</v>
      </c>
      <c r="B357" s="328" t="s">
        <v>501</v>
      </c>
      <c r="C357" s="328"/>
      <c r="D357" s="168">
        <v>8</v>
      </c>
      <c r="E357" s="168">
        <v>62</v>
      </c>
      <c r="F357" s="168">
        <f t="shared" si="4"/>
        <v>496</v>
      </c>
      <c r="H357" s="143"/>
      <c r="I357" s="143"/>
      <c r="J357" s="143"/>
      <c r="K357" s="143"/>
    </row>
    <row r="358" spans="1:11" s="158" customFormat="1" ht="15" customHeight="1">
      <c r="A358" s="155" t="s">
        <v>264</v>
      </c>
      <c r="B358" s="328" t="s">
        <v>502</v>
      </c>
      <c r="C358" s="328"/>
      <c r="D358" s="168">
        <v>10</v>
      </c>
      <c r="E358" s="168">
        <v>220</v>
      </c>
      <c r="F358" s="168">
        <f t="shared" si="4"/>
        <v>2200</v>
      </c>
      <c r="H358" s="143"/>
      <c r="I358" s="143"/>
      <c r="J358" s="143"/>
      <c r="K358" s="143"/>
    </row>
    <row r="359" spans="1:11" s="158" customFormat="1" ht="15" customHeight="1">
      <c r="A359" s="155" t="s">
        <v>265</v>
      </c>
      <c r="B359" s="328" t="s">
        <v>503</v>
      </c>
      <c r="C359" s="328"/>
      <c r="D359" s="168">
        <v>22</v>
      </c>
      <c r="E359" s="168">
        <v>270</v>
      </c>
      <c r="F359" s="168">
        <f t="shared" si="4"/>
        <v>5940</v>
      </c>
      <c r="H359" s="143"/>
      <c r="I359" s="143"/>
      <c r="J359" s="143"/>
      <c r="K359" s="143"/>
    </row>
    <row r="360" spans="1:11" s="158" customFormat="1" ht="15" customHeight="1">
      <c r="A360" s="155" t="s">
        <v>267</v>
      </c>
      <c r="B360" s="328" t="s">
        <v>504</v>
      </c>
      <c r="C360" s="328"/>
      <c r="D360" s="168">
        <v>2</v>
      </c>
      <c r="E360" s="168">
        <v>330</v>
      </c>
      <c r="F360" s="168">
        <f t="shared" si="4"/>
        <v>660</v>
      </c>
      <c r="H360" s="143"/>
      <c r="I360" s="143"/>
      <c r="J360" s="143"/>
      <c r="K360" s="143"/>
    </row>
    <row r="361" spans="1:11" s="158" customFormat="1" ht="15" customHeight="1">
      <c r="A361" s="155" t="s">
        <v>268</v>
      </c>
      <c r="B361" s="328" t="s">
        <v>505</v>
      </c>
      <c r="C361" s="328"/>
      <c r="D361" s="168">
        <v>1</v>
      </c>
      <c r="E361" s="168">
        <v>778</v>
      </c>
      <c r="F361" s="168">
        <f t="shared" si="4"/>
        <v>778</v>
      </c>
      <c r="H361" s="143"/>
      <c r="I361" s="143"/>
      <c r="J361" s="143"/>
      <c r="K361" s="143"/>
    </row>
    <row r="362" spans="1:11" s="158" customFormat="1" ht="15" customHeight="1">
      <c r="A362" s="155" t="s">
        <v>269</v>
      </c>
      <c r="B362" s="328" t="s">
        <v>506</v>
      </c>
      <c r="C362" s="328"/>
      <c r="D362" s="168">
        <v>20</v>
      </c>
      <c r="E362" s="168">
        <v>16</v>
      </c>
      <c r="F362" s="168">
        <f t="shared" si="4"/>
        <v>320</v>
      </c>
      <c r="H362" s="143"/>
      <c r="I362" s="143"/>
      <c r="J362" s="143"/>
      <c r="K362" s="143"/>
    </row>
    <row r="363" spans="1:11" s="158" customFormat="1" ht="15" customHeight="1">
      <c r="A363" s="155" t="s">
        <v>270</v>
      </c>
      <c r="B363" s="328" t="s">
        <v>507</v>
      </c>
      <c r="C363" s="328"/>
      <c r="D363" s="168">
        <v>2</v>
      </c>
      <c r="E363" s="168">
        <v>85</v>
      </c>
      <c r="F363" s="168">
        <f t="shared" si="4"/>
        <v>170</v>
      </c>
      <c r="H363" s="143"/>
      <c r="I363" s="143"/>
      <c r="J363" s="143"/>
      <c r="K363" s="143"/>
    </row>
    <row r="364" spans="1:11" s="158" customFormat="1" ht="15" customHeight="1">
      <c r="A364" s="155" t="s">
        <v>271</v>
      </c>
      <c r="B364" s="328" t="s">
        <v>508</v>
      </c>
      <c r="C364" s="328"/>
      <c r="D364" s="168">
        <v>3</v>
      </c>
      <c r="E364" s="168">
        <v>62</v>
      </c>
      <c r="F364" s="168">
        <f t="shared" si="4"/>
        <v>186</v>
      </c>
      <c r="H364" s="143"/>
      <c r="I364" s="143"/>
      <c r="J364" s="143"/>
      <c r="K364" s="143"/>
    </row>
    <row r="365" spans="1:11" s="158" customFormat="1" ht="15" customHeight="1">
      <c r="A365" s="155" t="s">
        <v>272</v>
      </c>
      <c r="B365" s="328" t="s">
        <v>509</v>
      </c>
      <c r="C365" s="328"/>
      <c r="D365" s="168">
        <v>2</v>
      </c>
      <c r="E365" s="168">
        <v>80</v>
      </c>
      <c r="F365" s="168">
        <f t="shared" si="4"/>
        <v>160</v>
      </c>
      <c r="H365" s="143"/>
      <c r="I365" s="143"/>
      <c r="J365" s="143"/>
      <c r="K365" s="143"/>
    </row>
    <row r="366" spans="1:11" s="158" customFormat="1" ht="15" customHeight="1">
      <c r="A366" s="155" t="s">
        <v>273</v>
      </c>
      <c r="B366" s="328" t="s">
        <v>510</v>
      </c>
      <c r="C366" s="328"/>
      <c r="D366" s="168">
        <v>3</v>
      </c>
      <c r="E366" s="168">
        <v>70</v>
      </c>
      <c r="F366" s="168">
        <f t="shared" si="4"/>
        <v>210</v>
      </c>
      <c r="H366" s="143"/>
      <c r="I366" s="143"/>
      <c r="J366" s="143"/>
      <c r="K366" s="143"/>
    </row>
    <row r="367" spans="1:11" s="158" customFormat="1" ht="15" customHeight="1">
      <c r="A367" s="155" t="s">
        <v>274</v>
      </c>
      <c r="B367" s="328" t="s">
        <v>511</v>
      </c>
      <c r="C367" s="328"/>
      <c r="D367" s="168">
        <v>12</v>
      </c>
      <c r="E367" s="168">
        <v>38</v>
      </c>
      <c r="F367" s="168">
        <f t="shared" si="4"/>
        <v>456</v>
      </c>
      <c r="H367" s="143"/>
      <c r="I367" s="143"/>
      <c r="J367" s="143"/>
      <c r="K367" s="143"/>
    </row>
    <row r="368" spans="1:11" s="158" customFormat="1" ht="15" customHeight="1">
      <c r="A368" s="155" t="s">
        <v>276</v>
      </c>
      <c r="B368" s="328" t="s">
        <v>512</v>
      </c>
      <c r="C368" s="328"/>
      <c r="D368" s="168">
        <v>12</v>
      </c>
      <c r="E368" s="168">
        <v>58</v>
      </c>
      <c r="F368" s="168">
        <f t="shared" si="4"/>
        <v>696</v>
      </c>
      <c r="H368" s="143"/>
      <c r="I368" s="143"/>
      <c r="J368" s="143"/>
      <c r="K368" s="143"/>
    </row>
    <row r="369" spans="1:11" s="158" customFormat="1" ht="15" customHeight="1">
      <c r="A369" s="155" t="s">
        <v>278</v>
      </c>
      <c r="B369" s="328" t="s">
        <v>513</v>
      </c>
      <c r="C369" s="328"/>
      <c r="D369" s="168">
        <v>12</v>
      </c>
      <c r="E369" s="168">
        <v>44</v>
      </c>
      <c r="F369" s="168">
        <f t="shared" si="4"/>
        <v>528</v>
      </c>
      <c r="H369" s="143"/>
      <c r="I369" s="143"/>
      <c r="J369" s="143"/>
      <c r="K369" s="143"/>
    </row>
    <row r="370" spans="1:11" s="158" customFormat="1" ht="15" customHeight="1">
      <c r="A370" s="155"/>
      <c r="B370" s="337" t="s">
        <v>287</v>
      </c>
      <c r="C370" s="339"/>
      <c r="D370" s="168"/>
      <c r="E370" s="168" t="s">
        <v>28</v>
      </c>
      <c r="F370" s="242">
        <f>SUM(F309:F369)</f>
        <v>109700</v>
      </c>
      <c r="G370" s="251">
        <f>113500-F370</f>
        <v>3800</v>
      </c>
      <c r="H370" s="144"/>
      <c r="I370" s="144"/>
      <c r="J370" s="144"/>
      <c r="K370" s="144"/>
    </row>
    <row r="371" spans="8:11" ht="15">
      <c r="H371" s="144"/>
      <c r="I371" s="144"/>
      <c r="J371" s="144"/>
      <c r="K371" s="144"/>
    </row>
    <row r="372" spans="1:11" s="144" customFormat="1" ht="15">
      <c r="A372" s="144" t="s">
        <v>246</v>
      </c>
      <c r="C372" s="189" t="s">
        <v>393</v>
      </c>
      <c r="D372" s="146"/>
      <c r="E372" s="146"/>
      <c r="F372" s="146"/>
      <c r="G372" s="265">
        <f>F382+F391+F462</f>
        <v>781629.55</v>
      </c>
      <c r="H372" s="143"/>
      <c r="I372" s="143"/>
      <c r="J372" s="143"/>
      <c r="K372" s="143"/>
    </row>
    <row r="373" spans="3:7" s="144" customFormat="1" ht="6" customHeight="1">
      <c r="C373" s="147"/>
      <c r="D373" s="147"/>
      <c r="E373" s="147"/>
      <c r="F373" s="147"/>
      <c r="G373" s="143"/>
    </row>
    <row r="374" spans="1:11" s="144" customFormat="1" ht="15">
      <c r="A374" s="144" t="s">
        <v>247</v>
      </c>
      <c r="C374" s="344" t="s">
        <v>380</v>
      </c>
      <c r="D374" s="344"/>
      <c r="E374" s="344"/>
      <c r="F374" s="344"/>
      <c r="G374" s="143"/>
      <c r="H374" s="143"/>
      <c r="I374" s="143"/>
      <c r="J374" s="143"/>
      <c r="K374" s="143"/>
    </row>
    <row r="375" spans="8:11" ht="10.5" customHeight="1">
      <c r="H375" s="151"/>
      <c r="I375" s="151"/>
      <c r="J375" s="151"/>
      <c r="K375" s="151"/>
    </row>
    <row r="376" spans="1:11" s="144" customFormat="1" ht="15">
      <c r="A376" s="318" t="s">
        <v>344</v>
      </c>
      <c r="B376" s="318"/>
      <c r="C376" s="318"/>
      <c r="D376" s="318"/>
      <c r="E376" s="318"/>
      <c r="F376" s="318"/>
      <c r="G376" s="143"/>
      <c r="H376" s="154"/>
      <c r="I376" s="154"/>
      <c r="J376" s="154"/>
      <c r="K376" s="154"/>
    </row>
    <row r="377" spans="8:11" ht="10.5" customHeight="1">
      <c r="H377" s="158"/>
      <c r="I377" s="158"/>
      <c r="J377" s="158"/>
      <c r="K377" s="158"/>
    </row>
    <row r="378" spans="1:11" s="151" customFormat="1" ht="29.25" customHeight="1">
      <c r="A378" s="150" t="s">
        <v>249</v>
      </c>
      <c r="B378" s="328" t="s">
        <v>320</v>
      </c>
      <c r="C378" s="328"/>
      <c r="D378" s="150" t="s">
        <v>345</v>
      </c>
      <c r="E378" s="150" t="s">
        <v>738</v>
      </c>
      <c r="F378" s="150" t="s">
        <v>739</v>
      </c>
      <c r="H378" s="158"/>
      <c r="I378" s="158"/>
      <c r="J378" s="158"/>
      <c r="K378" s="158"/>
    </row>
    <row r="379" spans="1:11" s="154" customFormat="1" ht="12.75">
      <c r="A379" s="152">
        <v>1</v>
      </c>
      <c r="B379" s="328">
        <v>2</v>
      </c>
      <c r="C379" s="328"/>
      <c r="D379" s="152">
        <v>3</v>
      </c>
      <c r="E379" s="152">
        <v>4</v>
      </c>
      <c r="F379" s="152">
        <v>5</v>
      </c>
      <c r="H379" s="158"/>
      <c r="I379" s="158"/>
      <c r="J379" s="158"/>
      <c r="K379" s="158"/>
    </row>
    <row r="380" spans="1:11" s="158" customFormat="1" ht="15" customHeight="1">
      <c r="A380" s="155"/>
      <c r="B380" s="335" t="s">
        <v>431</v>
      </c>
      <c r="C380" s="335"/>
      <c r="D380" s="168"/>
      <c r="E380" s="168"/>
      <c r="F380" s="183">
        <f>ROUND(D380*E380,0)</f>
        <v>0</v>
      </c>
      <c r="H380" s="143"/>
      <c r="I380" s="143"/>
      <c r="J380" s="143"/>
      <c r="K380" s="143"/>
    </row>
    <row r="381" spans="1:11" s="158" customFormat="1" ht="27.75" customHeight="1">
      <c r="A381" s="155"/>
      <c r="B381" s="335" t="s">
        <v>432</v>
      </c>
      <c r="C381" s="335"/>
      <c r="D381" s="168">
        <v>1</v>
      </c>
      <c r="E381" s="168">
        <v>1</v>
      </c>
      <c r="F381" s="183">
        <v>576500</v>
      </c>
      <c r="H381" s="144"/>
      <c r="I381" s="144"/>
      <c r="J381" s="144"/>
      <c r="K381" s="144"/>
    </row>
    <row r="382" spans="1:11" s="158" customFormat="1" ht="15" customHeight="1">
      <c r="A382" s="155"/>
      <c r="B382" s="335" t="s">
        <v>287</v>
      </c>
      <c r="C382" s="335"/>
      <c r="D382" s="168" t="s">
        <v>28</v>
      </c>
      <c r="E382" s="168" t="s">
        <v>28</v>
      </c>
      <c r="F382" s="183">
        <f>SUM(F380:F381)</f>
        <v>576500</v>
      </c>
      <c r="H382" s="143"/>
      <c r="I382" s="143"/>
      <c r="J382" s="143"/>
      <c r="K382" s="143"/>
    </row>
    <row r="383" ht="12" customHeight="1"/>
    <row r="384" spans="1:11" s="144" customFormat="1" ht="15">
      <c r="A384" s="318" t="s">
        <v>348</v>
      </c>
      <c r="B384" s="318"/>
      <c r="C384" s="318"/>
      <c r="D384" s="318"/>
      <c r="E384" s="318"/>
      <c r="F384" s="318"/>
      <c r="G384" s="143"/>
      <c r="H384" s="141"/>
      <c r="I384" s="141"/>
      <c r="J384" s="141"/>
      <c r="K384" s="141"/>
    </row>
    <row r="385" ht="10.5" customHeight="1"/>
    <row r="386" spans="1:6" ht="30" customHeight="1">
      <c r="A386" s="150" t="s">
        <v>249</v>
      </c>
      <c r="B386" s="328" t="s">
        <v>320</v>
      </c>
      <c r="C386" s="328"/>
      <c r="D386" s="328"/>
      <c r="E386" s="150" t="s">
        <v>349</v>
      </c>
      <c r="F386" s="150" t="s">
        <v>350</v>
      </c>
    </row>
    <row r="387" spans="1:11" s="141" customFormat="1" ht="15">
      <c r="A387" s="152">
        <v>1</v>
      </c>
      <c r="B387" s="328">
        <v>2</v>
      </c>
      <c r="C387" s="328"/>
      <c r="D387" s="328"/>
      <c r="E387" s="152">
        <v>3</v>
      </c>
      <c r="F387" s="152">
        <v>4</v>
      </c>
      <c r="H387" s="143"/>
      <c r="I387" s="143"/>
      <c r="J387" s="143"/>
      <c r="K387" s="143"/>
    </row>
    <row r="388" spans="1:6" ht="15" customHeight="1">
      <c r="A388" s="215"/>
      <c r="B388" s="337" t="s">
        <v>687</v>
      </c>
      <c r="C388" s="338"/>
      <c r="D388" s="339"/>
      <c r="E388" s="214"/>
      <c r="F388" s="214">
        <v>37500</v>
      </c>
    </row>
    <row r="389" spans="1:6" ht="15" customHeight="1">
      <c r="A389" s="215"/>
      <c r="B389" s="337" t="s">
        <v>688</v>
      </c>
      <c r="C389" s="338"/>
      <c r="D389" s="339"/>
      <c r="E389" s="214"/>
      <c r="F389" s="214">
        <f>62400+22860</f>
        <v>85260</v>
      </c>
    </row>
    <row r="390" spans="1:6" ht="15" customHeight="1" hidden="1">
      <c r="A390" s="215"/>
      <c r="B390" s="341" t="s">
        <v>730</v>
      </c>
      <c r="C390" s="342"/>
      <c r="D390" s="343"/>
      <c r="E390" s="214"/>
      <c r="F390" s="214"/>
    </row>
    <row r="391" spans="1:7" ht="15" customHeight="1">
      <c r="A391" s="155"/>
      <c r="B391" s="335" t="s">
        <v>287</v>
      </c>
      <c r="C391" s="335"/>
      <c r="D391" s="335"/>
      <c r="E391" s="168" t="s">
        <v>28</v>
      </c>
      <c r="F391" s="183">
        <f>SUM(F388:F390)</f>
        <v>122760</v>
      </c>
      <c r="G391" s="179">
        <f>122760-F391</f>
        <v>0</v>
      </c>
    </row>
    <row r="392" spans="8:11" ht="12" customHeight="1">
      <c r="H392" s="151"/>
      <c r="I392" s="151"/>
      <c r="J392" s="151"/>
      <c r="K392" s="151"/>
    </row>
    <row r="393" spans="1:11" s="144" customFormat="1" ht="15">
      <c r="A393" s="336" t="s">
        <v>351</v>
      </c>
      <c r="B393" s="336"/>
      <c r="C393" s="336"/>
      <c r="D393" s="336"/>
      <c r="E393" s="336"/>
      <c r="F393" s="336"/>
      <c r="G393" s="143"/>
      <c r="H393" s="154"/>
      <c r="I393" s="154"/>
      <c r="J393" s="154"/>
      <c r="K393" s="154"/>
    </row>
    <row r="394" spans="8:11" ht="10.5" customHeight="1">
      <c r="H394" s="158"/>
      <c r="I394" s="158"/>
      <c r="J394" s="158"/>
      <c r="K394" s="158"/>
    </row>
    <row r="395" spans="1:11" s="151" customFormat="1" ht="39.75" customHeight="1">
      <c r="A395" s="150" t="s">
        <v>249</v>
      </c>
      <c r="B395" s="328" t="s">
        <v>320</v>
      </c>
      <c r="C395" s="328"/>
      <c r="D395" s="150" t="s">
        <v>341</v>
      </c>
      <c r="E395" s="150" t="s">
        <v>352</v>
      </c>
      <c r="F395" s="150" t="s">
        <v>353</v>
      </c>
      <c r="H395" s="158"/>
      <c r="I395" s="158"/>
      <c r="J395" s="158"/>
      <c r="K395" s="158"/>
    </row>
    <row r="396" spans="1:11" s="154" customFormat="1" ht="12.75">
      <c r="A396" s="152"/>
      <c r="B396" s="328">
        <v>1</v>
      </c>
      <c r="C396" s="328"/>
      <c r="D396" s="152">
        <v>2</v>
      </c>
      <c r="E396" s="152">
        <v>3</v>
      </c>
      <c r="F396" s="152">
        <v>4</v>
      </c>
      <c r="H396" s="158"/>
      <c r="I396" s="158"/>
      <c r="J396" s="158"/>
      <c r="K396" s="158"/>
    </row>
    <row r="397" spans="1:6" ht="15" customHeight="1">
      <c r="A397" s="155" t="s">
        <v>260</v>
      </c>
      <c r="B397" s="333" t="s">
        <v>455</v>
      </c>
      <c r="C397" s="334"/>
      <c r="D397" s="214">
        <v>10</v>
      </c>
      <c r="E397" s="214">
        <v>36</v>
      </c>
      <c r="F397" s="223">
        <f aca="true" t="shared" si="5" ref="F397:F402">D397*E397</f>
        <v>360</v>
      </c>
    </row>
    <row r="398" spans="1:6" ht="15" customHeight="1">
      <c r="A398" s="155" t="s">
        <v>262</v>
      </c>
      <c r="B398" s="333" t="s">
        <v>514</v>
      </c>
      <c r="C398" s="334"/>
      <c r="D398" s="214">
        <v>12</v>
      </c>
      <c r="E398" s="214">
        <v>15</v>
      </c>
      <c r="F398" s="223">
        <f t="shared" si="5"/>
        <v>180</v>
      </c>
    </row>
    <row r="399" spans="1:6" ht="15" customHeight="1">
      <c r="A399" s="155" t="s">
        <v>264</v>
      </c>
      <c r="B399" s="333" t="s">
        <v>456</v>
      </c>
      <c r="C399" s="334"/>
      <c r="D399" s="214">
        <v>80</v>
      </c>
      <c r="E399" s="214">
        <v>3</v>
      </c>
      <c r="F399" s="223">
        <f t="shared" si="5"/>
        <v>240</v>
      </c>
    </row>
    <row r="400" spans="1:6" ht="15" customHeight="1">
      <c r="A400" s="155" t="s">
        <v>265</v>
      </c>
      <c r="B400" s="333" t="s">
        <v>515</v>
      </c>
      <c r="C400" s="334"/>
      <c r="D400" s="214">
        <v>9</v>
      </c>
      <c r="E400" s="214">
        <v>9</v>
      </c>
      <c r="F400" s="223">
        <f t="shared" si="5"/>
        <v>81</v>
      </c>
    </row>
    <row r="401" spans="1:6" ht="15" customHeight="1">
      <c r="A401" s="155" t="s">
        <v>267</v>
      </c>
      <c r="B401" s="333" t="s">
        <v>516</v>
      </c>
      <c r="C401" s="334"/>
      <c r="D401" s="214">
        <v>8</v>
      </c>
      <c r="E401" s="214">
        <v>6</v>
      </c>
      <c r="F401" s="223">
        <f t="shared" si="5"/>
        <v>48</v>
      </c>
    </row>
    <row r="402" spans="1:6" ht="15" customHeight="1">
      <c r="A402" s="155" t="s">
        <v>268</v>
      </c>
      <c r="B402" s="333" t="s">
        <v>517</v>
      </c>
      <c r="C402" s="334"/>
      <c r="D402" s="214">
        <v>10</v>
      </c>
      <c r="E402" s="214">
        <v>19</v>
      </c>
      <c r="F402" s="223">
        <f t="shared" si="5"/>
        <v>190</v>
      </c>
    </row>
    <row r="403" spans="1:6" ht="15" customHeight="1">
      <c r="A403" s="207"/>
      <c r="B403" s="333" t="s">
        <v>718</v>
      </c>
      <c r="C403" s="334"/>
      <c r="D403" s="214"/>
      <c r="E403" s="214"/>
      <c r="F403" s="223">
        <v>500</v>
      </c>
    </row>
    <row r="404" spans="1:6" ht="15" customHeight="1">
      <c r="A404" s="155" t="s">
        <v>260</v>
      </c>
      <c r="B404" s="333" t="s">
        <v>518</v>
      </c>
      <c r="C404" s="334"/>
      <c r="D404" s="214">
        <v>1</v>
      </c>
      <c r="E404" s="214">
        <v>1450</v>
      </c>
      <c r="F404" s="223">
        <f>D404*E404</f>
        <v>1450</v>
      </c>
    </row>
    <row r="405" spans="1:6" ht="15" customHeight="1">
      <c r="A405" s="155" t="s">
        <v>262</v>
      </c>
      <c r="B405" s="333" t="s">
        <v>519</v>
      </c>
      <c r="C405" s="334"/>
      <c r="D405" s="214">
        <v>2</v>
      </c>
      <c r="E405" s="214">
        <v>800</v>
      </c>
      <c r="F405" s="223">
        <f>D405*E405</f>
        <v>1600</v>
      </c>
    </row>
    <row r="406" spans="1:11" ht="15" customHeight="1">
      <c r="A406" s="155" t="s">
        <v>264</v>
      </c>
      <c r="B406" s="333" t="s">
        <v>520</v>
      </c>
      <c r="C406" s="334"/>
      <c r="D406" s="214">
        <v>1</v>
      </c>
      <c r="E406" s="214">
        <v>500</v>
      </c>
      <c r="F406" s="223">
        <f>D406*E406</f>
        <v>500</v>
      </c>
      <c r="H406" s="144"/>
      <c r="I406" s="144"/>
      <c r="J406" s="144"/>
      <c r="K406" s="144"/>
    </row>
    <row r="407" spans="1:11" ht="15" customHeight="1">
      <c r="A407" s="155" t="s">
        <v>265</v>
      </c>
      <c r="B407" s="333" t="s">
        <v>521</v>
      </c>
      <c r="C407" s="334"/>
      <c r="D407" s="214">
        <v>1</v>
      </c>
      <c r="E407" s="214">
        <v>1200</v>
      </c>
      <c r="F407" s="223">
        <f>D407*E407</f>
        <v>1200</v>
      </c>
      <c r="H407" s="144"/>
      <c r="I407" s="144"/>
      <c r="J407" s="144"/>
      <c r="K407" s="144"/>
    </row>
    <row r="408" spans="1:11" ht="15" customHeight="1">
      <c r="A408" s="155" t="s">
        <v>267</v>
      </c>
      <c r="B408" s="333" t="s">
        <v>522</v>
      </c>
      <c r="C408" s="334"/>
      <c r="D408" s="214">
        <v>5</v>
      </c>
      <c r="E408" s="214">
        <v>50</v>
      </c>
      <c r="F408" s="223">
        <f>D408*E408</f>
        <v>250</v>
      </c>
      <c r="H408" s="144"/>
      <c r="I408" s="144"/>
      <c r="J408" s="144"/>
      <c r="K408" s="144"/>
    </row>
    <row r="409" spans="1:11" ht="7.5" customHeight="1" hidden="1">
      <c r="A409" s="207"/>
      <c r="B409" s="212"/>
      <c r="C409" s="213"/>
      <c r="D409" s="214"/>
      <c r="E409" s="214"/>
      <c r="F409" s="223"/>
      <c r="H409" s="144"/>
      <c r="I409" s="144"/>
      <c r="J409" s="144"/>
      <c r="K409" s="144"/>
    </row>
    <row r="410" spans="1:11" ht="15" customHeight="1">
      <c r="A410" s="155" t="s">
        <v>260</v>
      </c>
      <c r="B410" s="333" t="s">
        <v>523</v>
      </c>
      <c r="C410" s="334"/>
      <c r="D410" s="214">
        <v>15</v>
      </c>
      <c r="E410" s="214">
        <v>122</v>
      </c>
      <c r="F410" s="223">
        <f aca="true" t="shared" si="6" ref="F410:F423">D410*E410</f>
        <v>1830</v>
      </c>
      <c r="H410" s="144"/>
      <c r="I410" s="144"/>
      <c r="J410" s="144"/>
      <c r="K410" s="144"/>
    </row>
    <row r="411" spans="1:11" ht="15" customHeight="1">
      <c r="A411" s="155" t="s">
        <v>262</v>
      </c>
      <c r="B411" s="329" t="s">
        <v>524</v>
      </c>
      <c r="C411" s="331"/>
      <c r="D411" s="168">
        <v>100</v>
      </c>
      <c r="E411" s="168">
        <v>17</v>
      </c>
      <c r="F411" s="157">
        <f t="shared" si="6"/>
        <v>1700</v>
      </c>
      <c r="H411" s="144"/>
      <c r="I411" s="144"/>
      <c r="J411" s="144"/>
      <c r="K411" s="144"/>
    </row>
    <row r="412" spans="1:11" ht="15" customHeight="1">
      <c r="A412" s="155" t="s">
        <v>264</v>
      </c>
      <c r="B412" s="329" t="s">
        <v>525</v>
      </c>
      <c r="C412" s="331"/>
      <c r="D412" s="168">
        <v>900</v>
      </c>
      <c r="E412" s="168">
        <v>20</v>
      </c>
      <c r="F412" s="157">
        <f>D412*E412-7000</f>
        <v>11000</v>
      </c>
      <c r="H412" s="144"/>
      <c r="I412" s="144"/>
      <c r="J412" s="144"/>
      <c r="K412" s="144"/>
    </row>
    <row r="413" spans="1:11" ht="15" customHeight="1">
      <c r="A413" s="155" t="s">
        <v>265</v>
      </c>
      <c r="B413" s="329" t="s">
        <v>526</v>
      </c>
      <c r="C413" s="331"/>
      <c r="D413" s="168">
        <v>6</v>
      </c>
      <c r="E413" s="168">
        <v>150</v>
      </c>
      <c r="F413" s="157">
        <f t="shared" si="6"/>
        <v>900</v>
      </c>
      <c r="H413" s="144"/>
      <c r="I413" s="144"/>
      <c r="J413" s="144"/>
      <c r="K413" s="144"/>
    </row>
    <row r="414" spans="1:11" ht="15" customHeight="1">
      <c r="A414" s="155" t="s">
        <v>267</v>
      </c>
      <c r="B414" s="329" t="s">
        <v>493</v>
      </c>
      <c r="C414" s="331"/>
      <c r="D414" s="168">
        <v>1</v>
      </c>
      <c r="E414" s="168">
        <v>282</v>
      </c>
      <c r="F414" s="157">
        <f t="shared" si="6"/>
        <v>282</v>
      </c>
      <c r="H414" s="144"/>
      <c r="I414" s="144"/>
      <c r="J414" s="144"/>
      <c r="K414" s="144"/>
    </row>
    <row r="415" spans="1:11" ht="15" customHeight="1">
      <c r="A415" s="155" t="s">
        <v>268</v>
      </c>
      <c r="B415" s="329" t="s">
        <v>527</v>
      </c>
      <c r="C415" s="331"/>
      <c r="D415" s="168">
        <v>30</v>
      </c>
      <c r="E415" s="168">
        <v>16</v>
      </c>
      <c r="F415" s="157">
        <f t="shared" si="6"/>
        <v>480</v>
      </c>
      <c r="H415" s="144"/>
      <c r="I415" s="144"/>
      <c r="J415" s="144"/>
      <c r="K415" s="144"/>
    </row>
    <row r="416" spans="1:11" ht="15" customHeight="1">
      <c r="A416" s="155" t="s">
        <v>269</v>
      </c>
      <c r="B416" s="329" t="s">
        <v>528</v>
      </c>
      <c r="C416" s="331"/>
      <c r="D416" s="168">
        <v>40</v>
      </c>
      <c r="E416" s="168">
        <v>20</v>
      </c>
      <c r="F416" s="157">
        <f t="shared" si="6"/>
        <v>800</v>
      </c>
      <c r="H416" s="144"/>
      <c r="I416" s="144"/>
      <c r="J416" s="144"/>
      <c r="K416" s="144"/>
    </row>
    <row r="417" spans="1:11" ht="15" customHeight="1">
      <c r="A417" s="155" t="s">
        <v>270</v>
      </c>
      <c r="B417" s="329" t="s">
        <v>529</v>
      </c>
      <c r="C417" s="331"/>
      <c r="D417" s="168">
        <v>3</v>
      </c>
      <c r="E417" s="168">
        <v>25</v>
      </c>
      <c r="F417" s="157">
        <f t="shared" si="6"/>
        <v>75</v>
      </c>
      <c r="H417" s="144"/>
      <c r="I417" s="144"/>
      <c r="J417" s="144"/>
      <c r="K417" s="144"/>
    </row>
    <row r="418" spans="1:11" ht="15" customHeight="1">
      <c r="A418" s="155" t="s">
        <v>271</v>
      </c>
      <c r="B418" s="329" t="s">
        <v>530</v>
      </c>
      <c r="C418" s="331"/>
      <c r="D418" s="168">
        <v>8</v>
      </c>
      <c r="E418" s="168">
        <v>35</v>
      </c>
      <c r="F418" s="157">
        <f t="shared" si="6"/>
        <v>280</v>
      </c>
      <c r="H418" s="144"/>
      <c r="I418" s="144"/>
      <c r="J418" s="144"/>
      <c r="K418" s="144"/>
    </row>
    <row r="419" spans="1:11" ht="15" customHeight="1">
      <c r="A419" s="155" t="s">
        <v>272</v>
      </c>
      <c r="B419" s="329" t="s">
        <v>506</v>
      </c>
      <c r="C419" s="331"/>
      <c r="D419" s="168">
        <v>81</v>
      </c>
      <c r="E419" s="168">
        <v>12</v>
      </c>
      <c r="F419" s="157">
        <f t="shared" si="6"/>
        <v>972</v>
      </c>
      <c r="H419" s="144"/>
      <c r="I419" s="144"/>
      <c r="J419" s="144"/>
      <c r="K419" s="144"/>
    </row>
    <row r="420" spans="1:11" ht="15" customHeight="1">
      <c r="A420" s="155" t="s">
        <v>273</v>
      </c>
      <c r="B420" s="329" t="s">
        <v>531</v>
      </c>
      <c r="C420" s="331"/>
      <c r="D420" s="168">
        <v>10</v>
      </c>
      <c r="E420" s="168">
        <v>25</v>
      </c>
      <c r="F420" s="157">
        <f t="shared" si="6"/>
        <v>250</v>
      </c>
      <c r="H420" s="144"/>
      <c r="I420" s="144"/>
      <c r="J420" s="144"/>
      <c r="K420" s="144"/>
    </row>
    <row r="421" spans="1:11" ht="15" customHeight="1">
      <c r="A421" s="155" t="s">
        <v>274</v>
      </c>
      <c r="B421" s="329" t="s">
        <v>532</v>
      </c>
      <c r="C421" s="331"/>
      <c r="D421" s="168">
        <v>1</v>
      </c>
      <c r="E421" s="168">
        <v>190</v>
      </c>
      <c r="F421" s="157">
        <f t="shared" si="6"/>
        <v>190</v>
      </c>
      <c r="H421" s="144"/>
      <c r="I421" s="144"/>
      <c r="J421" s="144"/>
      <c r="K421" s="144"/>
    </row>
    <row r="422" spans="1:11" ht="15" customHeight="1">
      <c r="A422" s="155" t="s">
        <v>276</v>
      </c>
      <c r="B422" s="329" t="s">
        <v>533</v>
      </c>
      <c r="C422" s="331"/>
      <c r="D422" s="168">
        <v>40</v>
      </c>
      <c r="E422" s="168">
        <v>15</v>
      </c>
      <c r="F422" s="157">
        <f t="shared" si="6"/>
        <v>600</v>
      </c>
      <c r="H422" s="144"/>
      <c r="I422" s="144"/>
      <c r="J422" s="144"/>
      <c r="K422" s="144"/>
    </row>
    <row r="423" spans="1:11" ht="15" customHeight="1">
      <c r="A423" s="155" t="s">
        <v>278</v>
      </c>
      <c r="B423" s="329" t="s">
        <v>503</v>
      </c>
      <c r="C423" s="331"/>
      <c r="D423" s="168">
        <v>2</v>
      </c>
      <c r="E423" s="168">
        <v>270</v>
      </c>
      <c r="F423" s="157">
        <f t="shared" si="6"/>
        <v>540</v>
      </c>
      <c r="H423" s="144"/>
      <c r="I423" s="144"/>
      <c r="J423" s="144"/>
      <c r="K423" s="144"/>
    </row>
    <row r="424" spans="1:11" ht="9" customHeight="1" hidden="1">
      <c r="A424" s="207"/>
      <c r="B424" s="209"/>
      <c r="C424" s="210"/>
      <c r="D424" s="208"/>
      <c r="E424" s="208"/>
      <c r="F424" s="224"/>
      <c r="H424" s="144"/>
      <c r="I424" s="144"/>
      <c r="J424" s="144"/>
      <c r="K424" s="144"/>
    </row>
    <row r="425" spans="1:11" ht="15" customHeight="1">
      <c r="A425" s="155" t="s">
        <v>260</v>
      </c>
      <c r="B425" s="333" t="s">
        <v>518</v>
      </c>
      <c r="C425" s="334"/>
      <c r="D425" s="214">
        <v>1</v>
      </c>
      <c r="E425" s="214">
        <v>1450</v>
      </c>
      <c r="F425" s="223">
        <f>D425*E425</f>
        <v>1450</v>
      </c>
      <c r="H425" s="144"/>
      <c r="I425" s="144"/>
      <c r="J425" s="144"/>
      <c r="K425" s="144"/>
    </row>
    <row r="426" spans="1:11" ht="15" customHeight="1">
      <c r="A426" s="155" t="s">
        <v>262</v>
      </c>
      <c r="B426" s="333" t="s">
        <v>519</v>
      </c>
      <c r="C426" s="334"/>
      <c r="D426" s="214">
        <v>1</v>
      </c>
      <c r="E426" s="214">
        <v>800</v>
      </c>
      <c r="F426" s="223">
        <f>D426*E426</f>
        <v>800</v>
      </c>
      <c r="H426" s="144"/>
      <c r="I426" s="144"/>
      <c r="J426" s="144"/>
      <c r="K426" s="144"/>
    </row>
    <row r="427" spans="1:11" ht="15" customHeight="1">
      <c r="A427" s="155" t="s">
        <v>264</v>
      </c>
      <c r="B427" s="333" t="s">
        <v>534</v>
      </c>
      <c r="C427" s="334"/>
      <c r="D427" s="214">
        <v>5</v>
      </c>
      <c r="E427" s="214">
        <v>550</v>
      </c>
      <c r="F427" s="223">
        <f>D427*E427</f>
        <v>2750</v>
      </c>
      <c r="H427" s="144"/>
      <c r="I427" s="144"/>
      <c r="J427" s="144"/>
      <c r="K427" s="144"/>
    </row>
    <row r="428" spans="1:11" ht="8.25" customHeight="1" hidden="1">
      <c r="A428" s="207"/>
      <c r="B428" s="212"/>
      <c r="C428" s="213"/>
      <c r="D428" s="214"/>
      <c r="E428" s="214"/>
      <c r="F428" s="223"/>
      <c r="H428" s="144"/>
      <c r="I428" s="144"/>
      <c r="J428" s="144"/>
      <c r="K428" s="144"/>
    </row>
    <row r="429" spans="1:11" ht="15" customHeight="1">
      <c r="A429" s="155" t="s">
        <v>260</v>
      </c>
      <c r="B429" s="333" t="s">
        <v>514</v>
      </c>
      <c r="C429" s="334"/>
      <c r="D429" s="214">
        <v>5</v>
      </c>
      <c r="E429" s="214">
        <v>15</v>
      </c>
      <c r="F429" s="223">
        <f>D429*E429</f>
        <v>75</v>
      </c>
      <c r="H429" s="144"/>
      <c r="I429" s="144"/>
      <c r="J429" s="144"/>
      <c r="K429" s="144"/>
    </row>
    <row r="430" spans="1:11" ht="15" customHeight="1">
      <c r="A430" s="155" t="s">
        <v>262</v>
      </c>
      <c r="B430" s="333" t="s">
        <v>517</v>
      </c>
      <c r="C430" s="334"/>
      <c r="D430" s="214">
        <v>5</v>
      </c>
      <c r="E430" s="214">
        <v>19</v>
      </c>
      <c r="F430" s="223">
        <f>D430*E430</f>
        <v>95</v>
      </c>
      <c r="H430" s="144"/>
      <c r="I430" s="144"/>
      <c r="J430" s="144"/>
      <c r="K430" s="144"/>
    </row>
    <row r="431" spans="1:11" ht="15" customHeight="1">
      <c r="A431" s="155" t="s">
        <v>264</v>
      </c>
      <c r="B431" s="333" t="s">
        <v>455</v>
      </c>
      <c r="C431" s="334"/>
      <c r="D431" s="214">
        <v>5</v>
      </c>
      <c r="E431" s="214">
        <v>36</v>
      </c>
      <c r="F431" s="223">
        <f>D431*E431</f>
        <v>180</v>
      </c>
      <c r="H431" s="144"/>
      <c r="I431" s="144"/>
      <c r="J431" s="144"/>
      <c r="K431" s="144"/>
    </row>
    <row r="432" spans="1:11" ht="15" customHeight="1">
      <c r="A432" s="155" t="s">
        <v>265</v>
      </c>
      <c r="B432" s="333" t="s">
        <v>456</v>
      </c>
      <c r="C432" s="334"/>
      <c r="D432" s="214">
        <v>50</v>
      </c>
      <c r="E432" s="214">
        <v>3</v>
      </c>
      <c r="F432" s="223">
        <f>D432*E432</f>
        <v>150</v>
      </c>
      <c r="H432" s="144"/>
      <c r="I432" s="144"/>
      <c r="J432" s="144"/>
      <c r="K432" s="144"/>
    </row>
    <row r="433" spans="1:11" ht="3.75" customHeight="1" hidden="1">
      <c r="A433" s="207"/>
      <c r="B433" s="209"/>
      <c r="C433" s="210"/>
      <c r="D433" s="208"/>
      <c r="E433" s="208"/>
      <c r="F433" s="224"/>
      <c r="H433" s="144"/>
      <c r="I433" s="144"/>
      <c r="J433" s="144"/>
      <c r="K433" s="144"/>
    </row>
    <row r="434" spans="1:11" s="158" customFormat="1" ht="15" customHeight="1">
      <c r="A434" s="155" t="s">
        <v>260</v>
      </c>
      <c r="B434" s="329" t="s">
        <v>532</v>
      </c>
      <c r="C434" s="331"/>
      <c r="D434" s="168">
        <v>1</v>
      </c>
      <c r="E434" s="168">
        <v>190</v>
      </c>
      <c r="F434" s="157">
        <f aca="true" t="shared" si="7" ref="F434:F458">D434*E434</f>
        <v>190</v>
      </c>
      <c r="H434" s="143"/>
      <c r="I434" s="143"/>
      <c r="J434" s="143"/>
      <c r="K434" s="143"/>
    </row>
    <row r="435" spans="1:11" s="158" customFormat="1" ht="15" customHeight="1">
      <c r="A435" s="155" t="s">
        <v>262</v>
      </c>
      <c r="B435" s="329" t="s">
        <v>506</v>
      </c>
      <c r="C435" s="331"/>
      <c r="D435" s="168">
        <v>10</v>
      </c>
      <c r="E435" s="168">
        <v>12</v>
      </c>
      <c r="F435" s="157">
        <f t="shared" si="7"/>
        <v>120</v>
      </c>
      <c r="H435" s="143"/>
      <c r="I435" s="143"/>
      <c r="J435" s="143"/>
      <c r="K435" s="143"/>
    </row>
    <row r="436" spans="1:11" s="158" customFormat="1" ht="15" customHeight="1">
      <c r="A436" s="155" t="s">
        <v>264</v>
      </c>
      <c r="B436" s="329" t="s">
        <v>503</v>
      </c>
      <c r="C436" s="331"/>
      <c r="D436" s="168">
        <v>3</v>
      </c>
      <c r="E436" s="168">
        <v>270</v>
      </c>
      <c r="F436" s="157">
        <f t="shared" si="7"/>
        <v>810</v>
      </c>
      <c r="H436" s="143"/>
      <c r="I436" s="143"/>
      <c r="J436" s="143"/>
      <c r="K436" s="143"/>
    </row>
    <row r="437" spans="1:11" s="158" customFormat="1" ht="15" customHeight="1">
      <c r="A437" s="155" t="s">
        <v>265</v>
      </c>
      <c r="B437" s="329" t="s">
        <v>527</v>
      </c>
      <c r="C437" s="331"/>
      <c r="D437" s="168">
        <v>100</v>
      </c>
      <c r="E437" s="168">
        <v>16</v>
      </c>
      <c r="F437" s="157">
        <f t="shared" si="7"/>
        <v>1600</v>
      </c>
      <c r="H437" s="143"/>
      <c r="I437" s="143"/>
      <c r="J437" s="143"/>
      <c r="K437" s="143"/>
    </row>
    <row r="438" spans="1:11" s="158" customFormat="1" ht="15" customHeight="1">
      <c r="A438" s="155" t="s">
        <v>267</v>
      </c>
      <c r="B438" s="329" t="s">
        <v>528</v>
      </c>
      <c r="C438" s="331"/>
      <c r="D438" s="168">
        <v>50</v>
      </c>
      <c r="E438" s="168">
        <v>20</v>
      </c>
      <c r="F438" s="157">
        <f t="shared" si="7"/>
        <v>1000</v>
      </c>
      <c r="H438" s="143"/>
      <c r="I438" s="143"/>
      <c r="J438" s="143"/>
      <c r="K438" s="143"/>
    </row>
    <row r="439" spans="1:11" s="158" customFormat="1" ht="15" customHeight="1">
      <c r="A439" s="155" t="s">
        <v>268</v>
      </c>
      <c r="B439" s="329" t="s">
        <v>493</v>
      </c>
      <c r="C439" s="331"/>
      <c r="D439" s="168">
        <v>1</v>
      </c>
      <c r="E439" s="168">
        <v>282</v>
      </c>
      <c r="F439" s="157">
        <f t="shared" si="7"/>
        <v>282</v>
      </c>
      <c r="H439" s="143"/>
      <c r="I439" s="143"/>
      <c r="J439" s="143"/>
      <c r="K439" s="143"/>
    </row>
    <row r="440" spans="1:11" s="158" customFormat="1" ht="15" customHeight="1">
      <c r="A440" s="155" t="s">
        <v>269</v>
      </c>
      <c r="B440" s="329" t="s">
        <v>535</v>
      </c>
      <c r="C440" s="331"/>
      <c r="D440" s="168">
        <v>4</v>
      </c>
      <c r="E440" s="168">
        <v>150</v>
      </c>
      <c r="F440" s="157">
        <f t="shared" si="7"/>
        <v>600</v>
      </c>
      <c r="H440" s="143"/>
      <c r="I440" s="143"/>
      <c r="J440" s="143"/>
      <c r="K440" s="143"/>
    </row>
    <row r="441" spans="1:11" s="158" customFormat="1" ht="15" customHeight="1">
      <c r="A441" s="155" t="s">
        <v>270</v>
      </c>
      <c r="B441" s="329" t="s">
        <v>507</v>
      </c>
      <c r="C441" s="331"/>
      <c r="D441" s="168">
        <v>10</v>
      </c>
      <c r="E441" s="168">
        <v>85</v>
      </c>
      <c r="F441" s="157">
        <f t="shared" si="7"/>
        <v>850</v>
      </c>
      <c r="H441" s="143"/>
      <c r="I441" s="143"/>
      <c r="J441" s="143"/>
      <c r="K441" s="143"/>
    </row>
    <row r="442" spans="1:11" s="158" customFormat="1" ht="15" customHeight="1">
      <c r="A442" s="155" t="s">
        <v>271</v>
      </c>
      <c r="B442" s="329" t="s">
        <v>501</v>
      </c>
      <c r="C442" s="331"/>
      <c r="D442" s="168">
        <v>10</v>
      </c>
      <c r="E442" s="168">
        <v>62</v>
      </c>
      <c r="F442" s="157">
        <f t="shared" si="7"/>
        <v>620</v>
      </c>
      <c r="H442" s="143"/>
      <c r="I442" s="143"/>
      <c r="J442" s="143"/>
      <c r="K442" s="143"/>
    </row>
    <row r="443" spans="1:11" s="158" customFormat="1" ht="15" customHeight="1">
      <c r="A443" s="155" t="s">
        <v>272</v>
      </c>
      <c r="B443" s="329" t="s">
        <v>536</v>
      </c>
      <c r="C443" s="331"/>
      <c r="D443" s="168">
        <v>10</v>
      </c>
      <c r="E443" s="168">
        <v>15</v>
      </c>
      <c r="F443" s="157">
        <f t="shared" si="7"/>
        <v>150</v>
      </c>
      <c r="H443" s="143"/>
      <c r="I443" s="143"/>
      <c r="J443" s="143"/>
      <c r="K443" s="143"/>
    </row>
    <row r="444" spans="1:11" s="154" customFormat="1" ht="12.75">
      <c r="A444" s="155" t="s">
        <v>273</v>
      </c>
      <c r="B444" s="329" t="s">
        <v>537</v>
      </c>
      <c r="C444" s="331"/>
      <c r="D444" s="168">
        <v>10</v>
      </c>
      <c r="E444" s="168">
        <v>38</v>
      </c>
      <c r="F444" s="157">
        <f t="shared" si="7"/>
        <v>380</v>
      </c>
      <c r="H444" s="158"/>
      <c r="I444" s="158"/>
      <c r="J444" s="158"/>
      <c r="K444" s="158"/>
    </row>
    <row r="445" spans="1:6" s="158" customFormat="1" ht="15" customHeight="1">
      <c r="A445" s="155" t="s">
        <v>274</v>
      </c>
      <c r="B445" s="329" t="s">
        <v>538</v>
      </c>
      <c r="C445" s="331"/>
      <c r="D445" s="168">
        <v>4</v>
      </c>
      <c r="E445" s="168">
        <v>58</v>
      </c>
      <c r="F445" s="157">
        <f t="shared" si="7"/>
        <v>232</v>
      </c>
    </row>
    <row r="446" spans="1:6" s="158" customFormat="1" ht="15" customHeight="1">
      <c r="A446" s="155" t="s">
        <v>276</v>
      </c>
      <c r="B446" s="329" t="s">
        <v>539</v>
      </c>
      <c r="C446" s="331"/>
      <c r="D446" s="168">
        <v>10</v>
      </c>
      <c r="E446" s="168">
        <v>55</v>
      </c>
      <c r="F446" s="157">
        <f t="shared" si="7"/>
        <v>550</v>
      </c>
    </row>
    <row r="447" spans="1:6" s="158" customFormat="1" ht="15" customHeight="1">
      <c r="A447" s="155" t="s">
        <v>278</v>
      </c>
      <c r="B447" s="329" t="s">
        <v>540</v>
      </c>
      <c r="C447" s="331"/>
      <c r="D447" s="168">
        <v>4</v>
      </c>
      <c r="E447" s="168">
        <v>220</v>
      </c>
      <c r="F447" s="157">
        <f t="shared" si="7"/>
        <v>880</v>
      </c>
    </row>
    <row r="448" spans="1:11" s="158" customFormat="1" ht="15" customHeight="1">
      <c r="A448" s="155" t="s">
        <v>280</v>
      </c>
      <c r="B448" s="329" t="s">
        <v>541</v>
      </c>
      <c r="C448" s="331"/>
      <c r="D448" s="168">
        <v>10</v>
      </c>
      <c r="E448" s="168">
        <v>50</v>
      </c>
      <c r="F448" s="157">
        <f t="shared" si="7"/>
        <v>500</v>
      </c>
      <c r="H448" s="143"/>
      <c r="I448" s="143"/>
      <c r="J448" s="143"/>
      <c r="K448" s="143"/>
    </row>
    <row r="449" spans="1:11" s="158" customFormat="1" ht="15" customHeight="1">
      <c r="A449" s="155" t="s">
        <v>282</v>
      </c>
      <c r="B449" s="329" t="s">
        <v>542</v>
      </c>
      <c r="C449" s="331"/>
      <c r="D449" s="168">
        <v>4</v>
      </c>
      <c r="E449" s="168">
        <v>67</v>
      </c>
      <c r="F449" s="157">
        <f t="shared" si="7"/>
        <v>268</v>
      </c>
      <c r="H449" s="144"/>
      <c r="I449" s="144"/>
      <c r="J449" s="144"/>
      <c r="K449" s="144"/>
    </row>
    <row r="450" spans="1:11" s="158" customFormat="1" ht="15" customHeight="1">
      <c r="A450" s="155" t="s">
        <v>283</v>
      </c>
      <c r="B450" s="329" t="s">
        <v>543</v>
      </c>
      <c r="C450" s="331"/>
      <c r="D450" s="168">
        <v>1</v>
      </c>
      <c r="E450" s="168">
        <v>145</v>
      </c>
      <c r="F450" s="157">
        <f t="shared" si="7"/>
        <v>145</v>
      </c>
      <c r="H450" s="144"/>
      <c r="I450" s="144"/>
      <c r="J450" s="144"/>
      <c r="K450" s="144"/>
    </row>
    <row r="451" spans="1:11" s="158" customFormat="1" ht="15" customHeight="1">
      <c r="A451" s="155" t="s">
        <v>285</v>
      </c>
      <c r="B451" s="329" t="s">
        <v>526</v>
      </c>
      <c r="C451" s="331"/>
      <c r="D451" s="168">
        <v>3</v>
      </c>
      <c r="E451" s="168">
        <v>150</v>
      </c>
      <c r="F451" s="157">
        <f t="shared" si="7"/>
        <v>450</v>
      </c>
      <c r="H451" s="144"/>
      <c r="I451" s="144"/>
      <c r="J451" s="144"/>
      <c r="K451" s="144"/>
    </row>
    <row r="452" spans="1:11" s="158" customFormat="1" ht="15" customHeight="1">
      <c r="A452" s="155" t="s">
        <v>475</v>
      </c>
      <c r="B452" s="329" t="s">
        <v>530</v>
      </c>
      <c r="C452" s="331"/>
      <c r="D452" s="168">
        <v>20</v>
      </c>
      <c r="E452" s="168">
        <v>35</v>
      </c>
      <c r="F452" s="157">
        <f t="shared" si="7"/>
        <v>700</v>
      </c>
      <c r="H452" s="144"/>
      <c r="I452" s="144"/>
      <c r="J452" s="144"/>
      <c r="K452" s="144"/>
    </row>
    <row r="453" spans="1:11" s="158" customFormat="1" ht="15" customHeight="1">
      <c r="A453" s="155" t="s">
        <v>477</v>
      </c>
      <c r="B453" s="329" t="s">
        <v>544</v>
      </c>
      <c r="C453" s="331"/>
      <c r="D453" s="168">
        <v>2</v>
      </c>
      <c r="E453" s="168">
        <v>160</v>
      </c>
      <c r="F453" s="157">
        <f t="shared" si="7"/>
        <v>320</v>
      </c>
      <c r="H453" s="144"/>
      <c r="I453" s="144"/>
      <c r="J453" s="144"/>
      <c r="K453" s="144"/>
    </row>
    <row r="454" spans="1:11" s="158" customFormat="1" ht="15" customHeight="1">
      <c r="A454" s="155" t="s">
        <v>479</v>
      </c>
      <c r="B454" s="329" t="s">
        <v>545</v>
      </c>
      <c r="C454" s="331"/>
      <c r="D454" s="168">
        <v>1</v>
      </c>
      <c r="E454" s="168">
        <v>47</v>
      </c>
      <c r="F454" s="157">
        <f t="shared" si="7"/>
        <v>47</v>
      </c>
      <c r="H454" s="144"/>
      <c r="I454" s="144"/>
      <c r="J454" s="144"/>
      <c r="K454" s="144"/>
    </row>
    <row r="455" spans="1:11" s="158" customFormat="1" ht="15" customHeight="1">
      <c r="A455" s="155" t="s">
        <v>481</v>
      </c>
      <c r="B455" s="329" t="s">
        <v>546</v>
      </c>
      <c r="C455" s="331"/>
      <c r="D455" s="168">
        <v>1</v>
      </c>
      <c r="E455" s="168">
        <v>60</v>
      </c>
      <c r="F455" s="157">
        <f t="shared" si="7"/>
        <v>60</v>
      </c>
      <c r="H455" s="144"/>
      <c r="I455" s="144"/>
      <c r="J455" s="144"/>
      <c r="K455" s="144"/>
    </row>
    <row r="456" spans="1:11" s="158" customFormat="1" ht="15" customHeight="1">
      <c r="A456" s="155" t="s">
        <v>547</v>
      </c>
      <c r="B456" s="329" t="s">
        <v>548</v>
      </c>
      <c r="C456" s="331"/>
      <c r="D456" s="168">
        <v>4</v>
      </c>
      <c r="E456" s="168">
        <v>98</v>
      </c>
      <c r="F456" s="157">
        <f t="shared" si="7"/>
        <v>392</v>
      </c>
      <c r="H456" s="144"/>
      <c r="I456" s="144"/>
      <c r="J456" s="144"/>
      <c r="K456" s="144"/>
    </row>
    <row r="457" spans="1:11" s="158" customFormat="1" ht="15" customHeight="1">
      <c r="A457" s="155" t="s">
        <v>549</v>
      </c>
      <c r="B457" s="329" t="s">
        <v>509</v>
      </c>
      <c r="C457" s="331"/>
      <c r="D457" s="168">
        <v>1</v>
      </c>
      <c r="E457" s="168">
        <v>80</v>
      </c>
      <c r="F457" s="157">
        <f t="shared" si="7"/>
        <v>80</v>
      </c>
      <c r="H457" s="144"/>
      <c r="I457" s="144"/>
      <c r="J457" s="144"/>
      <c r="K457" s="144"/>
    </row>
    <row r="458" spans="1:11" s="158" customFormat="1" ht="15" customHeight="1">
      <c r="A458" s="155" t="s">
        <v>550</v>
      </c>
      <c r="B458" s="329" t="s">
        <v>551</v>
      </c>
      <c r="C458" s="331"/>
      <c r="D458" s="168">
        <v>4</v>
      </c>
      <c r="E458" s="168">
        <v>96</v>
      </c>
      <c r="F458" s="157">
        <f t="shared" si="7"/>
        <v>384</v>
      </c>
      <c r="H458" s="144"/>
      <c r="I458" s="144"/>
      <c r="J458" s="144"/>
      <c r="K458" s="144"/>
    </row>
    <row r="459" spans="1:11" s="158" customFormat="1" ht="15" customHeight="1">
      <c r="A459" s="155" t="s">
        <v>552</v>
      </c>
      <c r="B459" s="329" t="s">
        <v>553</v>
      </c>
      <c r="C459" s="331"/>
      <c r="D459" s="168">
        <v>6</v>
      </c>
      <c r="E459" s="168">
        <v>65</v>
      </c>
      <c r="F459" s="157">
        <f>D459*E459+2</f>
        <v>392</v>
      </c>
      <c r="H459" s="144"/>
      <c r="I459" s="144"/>
      <c r="J459" s="144"/>
      <c r="K459" s="144"/>
    </row>
    <row r="460" spans="1:11" s="158" customFormat="1" ht="15" customHeight="1">
      <c r="A460" s="155" t="s">
        <v>579</v>
      </c>
      <c r="B460" s="337" t="s">
        <v>719</v>
      </c>
      <c r="C460" s="339"/>
      <c r="D460" s="168"/>
      <c r="E460" s="168"/>
      <c r="F460" s="157">
        <f>25685-8915.45</f>
        <v>16769.55</v>
      </c>
      <c r="H460" s="144"/>
      <c r="I460" s="144"/>
      <c r="J460" s="144"/>
      <c r="K460" s="144"/>
    </row>
    <row r="461" spans="1:11" s="158" customFormat="1" ht="15" customHeight="1">
      <c r="A461" s="155" t="s">
        <v>580</v>
      </c>
      <c r="B461" s="337" t="s">
        <v>720</v>
      </c>
      <c r="C461" s="339"/>
      <c r="D461" s="168"/>
      <c r="E461" s="168"/>
      <c r="F461" s="157">
        <f>31600-10000</f>
        <v>21600</v>
      </c>
      <c r="H461" s="144"/>
      <c r="I461" s="144"/>
      <c r="J461" s="144"/>
      <c r="K461" s="144"/>
    </row>
    <row r="462" spans="1:11" s="158" customFormat="1" ht="15" customHeight="1">
      <c r="A462" s="155"/>
      <c r="B462" s="335" t="s">
        <v>287</v>
      </c>
      <c r="C462" s="335"/>
      <c r="D462" s="168" t="s">
        <v>28</v>
      </c>
      <c r="E462" s="168" t="s">
        <v>28</v>
      </c>
      <c r="F462" s="157">
        <f>SUM(F397:F461)</f>
        <v>82369.55</v>
      </c>
      <c r="G462" s="225">
        <f>82369.55-F462</f>
        <v>0</v>
      </c>
      <c r="H462" s="143"/>
      <c r="I462" s="143"/>
      <c r="J462" s="143"/>
      <c r="K462" s="143"/>
    </row>
    <row r="463" ht="12" customHeight="1"/>
    <row r="464" ht="12" customHeight="1" hidden="1"/>
    <row r="465" ht="12" customHeight="1" hidden="1"/>
    <row r="466" spans="1:11" s="144" customFormat="1" ht="15">
      <c r="A466" s="144" t="s">
        <v>246</v>
      </c>
      <c r="C466" s="190" t="s">
        <v>393</v>
      </c>
      <c r="D466" s="146"/>
      <c r="E466" s="146"/>
      <c r="F466" s="146"/>
      <c r="G466" s="179">
        <f>F477+F485+F496+F515+F525+F620</f>
        <v>545825</v>
      </c>
      <c r="H466" s="143"/>
      <c r="I466" s="143"/>
      <c r="J466" s="143"/>
      <c r="K466" s="143"/>
    </row>
    <row r="467" spans="3:7" s="144" customFormat="1" ht="6" customHeight="1">
      <c r="C467" s="147"/>
      <c r="D467" s="147"/>
      <c r="E467" s="147"/>
      <c r="F467" s="147"/>
      <c r="G467" s="143"/>
    </row>
    <row r="468" spans="1:11" s="144" customFormat="1" ht="15">
      <c r="A468" s="144" t="s">
        <v>247</v>
      </c>
      <c r="C468" s="332" t="s">
        <v>386</v>
      </c>
      <c r="D468" s="332"/>
      <c r="E468" s="332"/>
      <c r="F468" s="332"/>
      <c r="G468" s="143"/>
      <c r="H468" s="143"/>
      <c r="I468" s="143"/>
      <c r="J468" s="143"/>
      <c r="K468" s="143"/>
    </row>
    <row r="469" spans="8:11" ht="10.5" customHeight="1">
      <c r="H469" s="151"/>
      <c r="I469" s="151"/>
      <c r="J469" s="151"/>
      <c r="K469" s="151"/>
    </row>
    <row r="470" spans="1:11" s="144" customFormat="1" ht="15">
      <c r="A470" s="318" t="s">
        <v>326</v>
      </c>
      <c r="B470" s="318"/>
      <c r="C470" s="318"/>
      <c r="D470" s="318"/>
      <c r="E470" s="318"/>
      <c r="F470" s="318"/>
      <c r="G470" s="143"/>
      <c r="H470" s="154"/>
      <c r="I470" s="154"/>
      <c r="J470" s="154"/>
      <c r="K470" s="154"/>
    </row>
    <row r="471" spans="8:11" ht="10.5" customHeight="1">
      <c r="H471" s="158"/>
      <c r="I471" s="158"/>
      <c r="J471" s="158"/>
      <c r="K471" s="158"/>
    </row>
    <row r="472" spans="1:11" s="151" customFormat="1" ht="36.75" customHeight="1">
      <c r="A472" s="150" t="s">
        <v>249</v>
      </c>
      <c r="B472" s="150" t="s">
        <v>320</v>
      </c>
      <c r="C472" s="150" t="s">
        <v>327</v>
      </c>
      <c r="D472" s="150" t="s">
        <v>328</v>
      </c>
      <c r="E472" s="150" t="s">
        <v>329</v>
      </c>
      <c r="F472" s="150" t="s">
        <v>735</v>
      </c>
      <c r="H472" s="158"/>
      <c r="I472" s="158"/>
      <c r="J472" s="158"/>
      <c r="K472" s="158"/>
    </row>
    <row r="473" spans="1:11" s="154" customFormat="1" ht="12.75">
      <c r="A473" s="152">
        <v>1</v>
      </c>
      <c r="B473" s="152">
        <v>2</v>
      </c>
      <c r="C473" s="152">
        <v>3</v>
      </c>
      <c r="D473" s="152">
        <v>4</v>
      </c>
      <c r="E473" s="152">
        <v>5</v>
      </c>
      <c r="F473" s="152">
        <v>6</v>
      </c>
      <c r="H473" s="158"/>
      <c r="I473" s="158"/>
      <c r="J473" s="158"/>
      <c r="K473" s="158"/>
    </row>
    <row r="474" spans="1:6" s="158" customFormat="1" ht="15" customHeight="1" hidden="1">
      <c r="A474" s="155"/>
      <c r="B474" s="170" t="s">
        <v>394</v>
      </c>
      <c r="C474" s="168"/>
      <c r="D474" s="168"/>
      <c r="E474" s="168"/>
      <c r="F474" s="183">
        <f>ROUND(C474*D474*E474,0)</f>
        <v>0</v>
      </c>
    </row>
    <row r="475" spans="1:11" s="158" customFormat="1" ht="15">
      <c r="A475" s="155"/>
      <c r="B475" s="170" t="s">
        <v>689</v>
      </c>
      <c r="C475" s="168"/>
      <c r="D475" s="168"/>
      <c r="E475" s="168"/>
      <c r="F475" s="183">
        <v>4776</v>
      </c>
      <c r="H475" s="143"/>
      <c r="I475" s="143"/>
      <c r="J475" s="143"/>
      <c r="K475" s="143"/>
    </row>
    <row r="476" spans="1:11" s="158" customFormat="1" ht="15" customHeight="1">
      <c r="A476" s="155"/>
      <c r="B476" s="170"/>
      <c r="C476" s="168"/>
      <c r="D476" s="168"/>
      <c r="E476" s="168"/>
      <c r="F476" s="183">
        <f>ROUND(C476*D476*E476,0)</f>
        <v>0</v>
      </c>
      <c r="H476" s="144"/>
      <c r="I476" s="144"/>
      <c r="J476" s="144"/>
      <c r="K476" s="144"/>
    </row>
    <row r="477" spans="1:11" s="158" customFormat="1" ht="15" customHeight="1">
      <c r="A477" s="155"/>
      <c r="B477" s="172" t="s">
        <v>330</v>
      </c>
      <c r="C477" s="168" t="s">
        <v>28</v>
      </c>
      <c r="D477" s="168" t="s">
        <v>28</v>
      </c>
      <c r="E477" s="168" t="s">
        <v>28</v>
      </c>
      <c r="F477" s="183">
        <f>SUM(F474:F476)</f>
        <v>4776</v>
      </c>
      <c r="H477" s="143"/>
      <c r="I477" s="143"/>
      <c r="J477" s="143"/>
      <c r="K477" s="143"/>
    </row>
    <row r="478" spans="8:11" ht="10.5" customHeight="1">
      <c r="H478" s="151"/>
      <c r="I478" s="151"/>
      <c r="J478" s="151"/>
      <c r="K478" s="151"/>
    </row>
    <row r="479" spans="1:11" s="144" customFormat="1" ht="15" hidden="1">
      <c r="A479" s="318" t="s">
        <v>331</v>
      </c>
      <c r="B479" s="318"/>
      <c r="C479" s="318"/>
      <c r="D479" s="318"/>
      <c r="E479" s="318"/>
      <c r="F479" s="318"/>
      <c r="G479" s="143"/>
      <c r="H479" s="154"/>
      <c r="I479" s="154"/>
      <c r="J479" s="154"/>
      <c r="K479" s="154"/>
    </row>
    <row r="480" spans="8:11" ht="10.5" customHeight="1" hidden="1">
      <c r="H480" s="158"/>
      <c r="I480" s="158"/>
      <c r="J480" s="158"/>
      <c r="K480" s="158"/>
    </row>
    <row r="481" spans="1:11" s="151" customFormat="1" ht="45" customHeight="1" hidden="1">
      <c r="A481" s="150" t="s">
        <v>249</v>
      </c>
      <c r="B481" s="328" t="s">
        <v>320</v>
      </c>
      <c r="C481" s="328"/>
      <c r="D481" s="150" t="s">
        <v>332</v>
      </c>
      <c r="E481" s="150" t="s">
        <v>333</v>
      </c>
      <c r="F481" s="150" t="s">
        <v>334</v>
      </c>
      <c r="H481" s="158"/>
      <c r="I481" s="158"/>
      <c r="J481" s="158"/>
      <c r="K481" s="158"/>
    </row>
    <row r="482" spans="1:11" s="154" customFormat="1" ht="12.75" hidden="1">
      <c r="A482" s="152">
        <v>1</v>
      </c>
      <c r="B482" s="328">
        <v>2</v>
      </c>
      <c r="C482" s="328"/>
      <c r="D482" s="152">
        <v>3</v>
      </c>
      <c r="E482" s="152">
        <v>4</v>
      </c>
      <c r="F482" s="152">
        <v>5</v>
      </c>
      <c r="H482" s="158"/>
      <c r="I482" s="158"/>
      <c r="J482" s="158"/>
      <c r="K482" s="158"/>
    </row>
    <row r="483" spans="1:11" s="158" customFormat="1" ht="15" customHeight="1" hidden="1">
      <c r="A483" s="155"/>
      <c r="B483" s="328"/>
      <c r="C483" s="328"/>
      <c r="D483" s="168"/>
      <c r="E483" s="168"/>
      <c r="F483" s="183">
        <f>ROUND(D483*E483,0)</f>
        <v>0</v>
      </c>
      <c r="H483" s="143"/>
      <c r="I483" s="143"/>
      <c r="J483" s="143"/>
      <c r="K483" s="143"/>
    </row>
    <row r="484" spans="1:11" s="158" customFormat="1" ht="15" customHeight="1" hidden="1">
      <c r="A484" s="155"/>
      <c r="B484" s="328"/>
      <c r="C484" s="328"/>
      <c r="D484" s="168"/>
      <c r="E484" s="168"/>
      <c r="F484" s="183">
        <f>ROUND(D484*E484,0)</f>
        <v>0</v>
      </c>
      <c r="H484" s="144"/>
      <c r="I484" s="144"/>
      <c r="J484" s="144"/>
      <c r="K484" s="144"/>
    </row>
    <row r="485" spans="1:11" s="158" customFormat="1" ht="15" customHeight="1" hidden="1">
      <c r="A485" s="155"/>
      <c r="B485" s="335" t="s">
        <v>287</v>
      </c>
      <c r="C485" s="335"/>
      <c r="D485" s="168"/>
      <c r="E485" s="168"/>
      <c r="F485" s="183">
        <f>SUM(F483:F484)</f>
        <v>0</v>
      </c>
      <c r="H485" s="143"/>
      <c r="I485" s="143"/>
      <c r="J485" s="143"/>
      <c r="K485" s="143"/>
    </row>
    <row r="486" spans="8:11" ht="10.5" customHeight="1" hidden="1">
      <c r="H486" s="151"/>
      <c r="I486" s="151"/>
      <c r="J486" s="151"/>
      <c r="K486" s="151"/>
    </row>
    <row r="487" spans="1:11" s="144" customFormat="1" ht="15">
      <c r="A487" s="318" t="s">
        <v>335</v>
      </c>
      <c r="B487" s="318"/>
      <c r="C487" s="318"/>
      <c r="D487" s="318"/>
      <c r="E487" s="318"/>
      <c r="F487" s="318"/>
      <c r="G487" s="143"/>
      <c r="H487" s="154"/>
      <c r="I487" s="154"/>
      <c r="J487" s="154"/>
      <c r="K487" s="154"/>
    </row>
    <row r="488" spans="8:11" ht="10.5" customHeight="1">
      <c r="H488" s="158"/>
      <c r="I488" s="158"/>
      <c r="J488" s="158"/>
      <c r="K488" s="158"/>
    </row>
    <row r="489" spans="1:11" s="151" customFormat="1" ht="36">
      <c r="A489" s="181" t="s">
        <v>249</v>
      </c>
      <c r="B489" s="181" t="s">
        <v>20</v>
      </c>
      <c r="C489" s="181" t="s">
        <v>336</v>
      </c>
      <c r="D489" s="181" t="s">
        <v>337</v>
      </c>
      <c r="E489" s="181" t="s">
        <v>338</v>
      </c>
      <c r="F489" s="181" t="s">
        <v>339</v>
      </c>
      <c r="H489" s="158"/>
      <c r="I489" s="158"/>
      <c r="J489" s="158"/>
      <c r="K489" s="158"/>
    </row>
    <row r="490" spans="1:11" s="154" customFormat="1" ht="12.75">
      <c r="A490" s="152">
        <v>1</v>
      </c>
      <c r="B490" s="152">
        <v>2</v>
      </c>
      <c r="C490" s="152">
        <v>4</v>
      </c>
      <c r="D490" s="152">
        <v>5</v>
      </c>
      <c r="E490" s="152">
        <v>6</v>
      </c>
      <c r="F490" s="152">
        <v>6</v>
      </c>
      <c r="H490" s="158"/>
      <c r="I490" s="158"/>
      <c r="J490" s="158"/>
      <c r="K490" s="158"/>
    </row>
    <row r="491" spans="1:6" s="158" customFormat="1" ht="15" customHeight="1" hidden="1">
      <c r="A491" s="155"/>
      <c r="B491" s="170"/>
      <c r="C491" s="168"/>
      <c r="D491" s="168"/>
      <c r="E491" s="168"/>
      <c r="F491" s="183">
        <f>ROUND(D491*E491,0)</f>
        <v>0</v>
      </c>
    </row>
    <row r="492" spans="1:7" s="158" customFormat="1" ht="25.5" customHeight="1">
      <c r="A492" s="155"/>
      <c r="B492" s="170" t="s">
        <v>399</v>
      </c>
      <c r="C492" s="195">
        <f>G492/D492</f>
        <v>31.99731678685226</v>
      </c>
      <c r="D492" s="195">
        <v>298.15</v>
      </c>
      <c r="E492" s="168">
        <v>1</v>
      </c>
      <c r="F492" s="183">
        <f>ROUND(C492*D492*E492,0)</f>
        <v>9540</v>
      </c>
      <c r="G492" s="193">
        <v>9540</v>
      </c>
    </row>
    <row r="493" spans="1:6" s="158" customFormat="1" ht="15" customHeight="1" hidden="1">
      <c r="A493" s="155"/>
      <c r="B493" s="170"/>
      <c r="C493" s="168"/>
      <c r="D493" s="168"/>
      <c r="E493" s="168"/>
      <c r="F493" s="183">
        <f>ROUND(D493*E493,0)</f>
        <v>0</v>
      </c>
    </row>
    <row r="494" spans="1:11" s="158" customFormat="1" ht="15" customHeight="1" hidden="1">
      <c r="A494" s="155"/>
      <c r="B494" s="170"/>
      <c r="C494" s="168"/>
      <c r="D494" s="168"/>
      <c r="E494" s="168"/>
      <c r="F494" s="183">
        <f>ROUND(D494*E494,0)</f>
        <v>0</v>
      </c>
      <c r="H494" s="143"/>
      <c r="I494" s="143"/>
      <c r="J494" s="143"/>
      <c r="K494" s="143"/>
    </row>
    <row r="495" spans="1:11" s="158" customFormat="1" ht="15" customHeight="1" hidden="1">
      <c r="A495" s="155"/>
      <c r="B495" s="170"/>
      <c r="C495" s="168"/>
      <c r="D495" s="168"/>
      <c r="E495" s="168"/>
      <c r="F495" s="183">
        <f>ROUND(D495*E495,0)</f>
        <v>0</v>
      </c>
      <c r="H495" s="144"/>
      <c r="I495" s="144"/>
      <c r="J495" s="144"/>
      <c r="K495" s="144"/>
    </row>
    <row r="496" spans="1:11" s="158" customFormat="1" ht="15" customHeight="1">
      <c r="A496" s="155"/>
      <c r="B496" s="167" t="s">
        <v>287</v>
      </c>
      <c r="C496" s="168" t="s">
        <v>28</v>
      </c>
      <c r="D496" s="168" t="s">
        <v>28</v>
      </c>
      <c r="E496" s="168" t="s">
        <v>28</v>
      </c>
      <c r="F496" s="183">
        <f>SUM(F491:F495)</f>
        <v>9540</v>
      </c>
      <c r="H496" s="143"/>
      <c r="I496" s="143"/>
      <c r="J496" s="143"/>
      <c r="K496" s="143"/>
    </row>
    <row r="497" spans="8:11" ht="12" customHeight="1">
      <c r="H497" s="151"/>
      <c r="I497" s="151"/>
      <c r="J497" s="151"/>
      <c r="K497" s="151"/>
    </row>
    <row r="498" spans="1:11" s="144" customFormat="1" ht="15" hidden="1">
      <c r="A498" s="318" t="s">
        <v>340</v>
      </c>
      <c r="B498" s="318"/>
      <c r="C498" s="318"/>
      <c r="D498" s="318"/>
      <c r="E498" s="318"/>
      <c r="F498" s="318"/>
      <c r="G498" s="143"/>
      <c r="H498" s="154"/>
      <c r="I498" s="154"/>
      <c r="J498" s="154"/>
      <c r="K498" s="154"/>
    </row>
    <row r="499" spans="8:11" ht="10.5" customHeight="1" hidden="1">
      <c r="H499" s="158"/>
      <c r="I499" s="158"/>
      <c r="J499" s="158"/>
      <c r="K499" s="158"/>
    </row>
    <row r="500" spans="1:11" s="151" customFormat="1" ht="45" customHeight="1" hidden="1">
      <c r="A500" s="150" t="s">
        <v>249</v>
      </c>
      <c r="B500" s="328" t="s">
        <v>20</v>
      </c>
      <c r="C500" s="328"/>
      <c r="D500" s="150" t="s">
        <v>341</v>
      </c>
      <c r="E500" s="150" t="s">
        <v>342</v>
      </c>
      <c r="F500" s="150" t="s">
        <v>343</v>
      </c>
      <c r="H500" s="158"/>
      <c r="I500" s="158"/>
      <c r="J500" s="158"/>
      <c r="K500" s="158"/>
    </row>
    <row r="501" spans="1:11" s="154" customFormat="1" ht="12.75" hidden="1">
      <c r="A501" s="152">
        <v>1</v>
      </c>
      <c r="B501" s="328">
        <v>2</v>
      </c>
      <c r="C501" s="328"/>
      <c r="D501" s="152">
        <v>4</v>
      </c>
      <c r="E501" s="152">
        <v>5</v>
      </c>
      <c r="F501" s="152">
        <v>6</v>
      </c>
      <c r="H501" s="158"/>
      <c r="I501" s="158"/>
      <c r="J501" s="158"/>
      <c r="K501" s="158"/>
    </row>
    <row r="502" spans="1:11" s="158" customFormat="1" ht="15" customHeight="1" hidden="1">
      <c r="A502" s="155"/>
      <c r="B502" s="328"/>
      <c r="C502" s="328"/>
      <c r="D502" s="168"/>
      <c r="E502" s="168"/>
      <c r="F502" s="183">
        <f>ROUND(D502*E502,0)</f>
        <v>0</v>
      </c>
      <c r="H502" s="143"/>
      <c r="I502" s="143"/>
      <c r="J502" s="143"/>
      <c r="K502" s="143"/>
    </row>
    <row r="503" spans="1:11" s="158" customFormat="1" ht="15" customHeight="1" hidden="1">
      <c r="A503" s="155"/>
      <c r="B503" s="328"/>
      <c r="C503" s="328"/>
      <c r="D503" s="168"/>
      <c r="E503" s="168"/>
      <c r="F503" s="183">
        <f>ROUND(D503*E503,0)</f>
        <v>0</v>
      </c>
      <c r="H503" s="144"/>
      <c r="I503" s="144"/>
      <c r="J503" s="144"/>
      <c r="K503" s="144"/>
    </row>
    <row r="504" spans="1:11" s="158" customFormat="1" ht="15" customHeight="1" hidden="1">
      <c r="A504" s="155"/>
      <c r="B504" s="335" t="s">
        <v>287</v>
      </c>
      <c r="C504" s="335"/>
      <c r="D504" s="168" t="s">
        <v>28</v>
      </c>
      <c r="E504" s="168" t="s">
        <v>28</v>
      </c>
      <c r="F504" s="168" t="s">
        <v>28</v>
      </c>
      <c r="H504" s="143"/>
      <c r="I504" s="143"/>
      <c r="J504" s="143"/>
      <c r="K504" s="143"/>
    </row>
    <row r="505" spans="8:11" ht="12" customHeight="1" hidden="1">
      <c r="H505" s="151"/>
      <c r="I505" s="151"/>
      <c r="J505" s="151"/>
      <c r="K505" s="151"/>
    </row>
    <row r="506" spans="1:11" s="144" customFormat="1" ht="15">
      <c r="A506" s="318" t="s">
        <v>344</v>
      </c>
      <c r="B506" s="318"/>
      <c r="C506" s="318"/>
      <c r="D506" s="318"/>
      <c r="E506" s="318"/>
      <c r="F506" s="318"/>
      <c r="G506" s="143"/>
      <c r="H506" s="154"/>
      <c r="I506" s="154"/>
      <c r="J506" s="154"/>
      <c r="K506" s="154"/>
    </row>
    <row r="507" spans="8:11" ht="10.5" customHeight="1">
      <c r="H507" s="158"/>
      <c r="I507" s="158"/>
      <c r="J507" s="158"/>
      <c r="K507" s="158"/>
    </row>
    <row r="508" spans="1:11" s="236" customFormat="1" ht="36">
      <c r="A508" s="181" t="s">
        <v>249</v>
      </c>
      <c r="B508" s="340" t="s">
        <v>320</v>
      </c>
      <c r="C508" s="340"/>
      <c r="D508" s="181" t="s">
        <v>345</v>
      </c>
      <c r="E508" s="181" t="s">
        <v>346</v>
      </c>
      <c r="F508" s="181" t="s">
        <v>347</v>
      </c>
      <c r="H508" s="238"/>
      <c r="I508" s="238"/>
      <c r="J508" s="238"/>
      <c r="K508" s="238"/>
    </row>
    <row r="509" spans="1:11" s="154" customFormat="1" ht="12.75">
      <c r="A509" s="152">
        <v>1</v>
      </c>
      <c r="B509" s="328">
        <v>2</v>
      </c>
      <c r="C509" s="328"/>
      <c r="D509" s="152">
        <v>3</v>
      </c>
      <c r="E509" s="152">
        <v>4</v>
      </c>
      <c r="F509" s="152">
        <v>5</v>
      </c>
      <c r="H509" s="158"/>
      <c r="I509" s="158"/>
      <c r="J509" s="158"/>
      <c r="K509" s="158"/>
    </row>
    <row r="510" spans="1:6" s="158" customFormat="1" ht="15" customHeight="1" hidden="1">
      <c r="A510" s="155"/>
      <c r="B510" s="335" t="s">
        <v>431</v>
      </c>
      <c r="C510" s="335"/>
      <c r="D510" s="168"/>
      <c r="E510" s="168"/>
      <c r="F510" s="183">
        <f>ROUND(D510*E510,0)</f>
        <v>0</v>
      </c>
    </row>
    <row r="511" spans="1:6" s="158" customFormat="1" ht="15" customHeight="1">
      <c r="A511" s="155"/>
      <c r="B511" s="335" t="s">
        <v>411</v>
      </c>
      <c r="C511" s="335"/>
      <c r="D511" s="168"/>
      <c r="E511" s="168"/>
      <c r="F511" s="183">
        <f>5573+1807</f>
        <v>7380</v>
      </c>
    </row>
    <row r="512" spans="1:6" s="158" customFormat="1" ht="15" customHeight="1" hidden="1">
      <c r="A512" s="155"/>
      <c r="B512" s="328"/>
      <c r="C512" s="328"/>
      <c r="D512" s="168"/>
      <c r="E512" s="168"/>
      <c r="F512" s="183">
        <f>ROUND(D512*E512,0)</f>
        <v>0</v>
      </c>
    </row>
    <row r="513" spans="1:11" s="158" customFormat="1" ht="15">
      <c r="A513" s="155"/>
      <c r="B513" s="337" t="s">
        <v>725</v>
      </c>
      <c r="C513" s="339"/>
      <c r="D513" s="168"/>
      <c r="E513" s="168"/>
      <c r="F513" s="183">
        <v>4698</v>
      </c>
      <c r="H513" s="143"/>
      <c r="I513" s="143"/>
      <c r="J513" s="143"/>
      <c r="K513" s="143"/>
    </row>
    <row r="514" spans="1:11" s="158" customFormat="1" ht="14.25" hidden="1">
      <c r="A514" s="155"/>
      <c r="B514" s="328"/>
      <c r="C514" s="328"/>
      <c r="D514" s="168"/>
      <c r="E514" s="168"/>
      <c r="F514" s="183">
        <f>ROUND(D514*E514,0)</f>
        <v>0</v>
      </c>
      <c r="H514" s="144"/>
      <c r="I514" s="144"/>
      <c r="J514" s="144"/>
      <c r="K514" s="144"/>
    </row>
    <row r="515" spans="1:11" s="158" customFormat="1" ht="15" customHeight="1">
      <c r="A515" s="155"/>
      <c r="B515" s="335" t="s">
        <v>287</v>
      </c>
      <c r="C515" s="335"/>
      <c r="D515" s="168" t="s">
        <v>28</v>
      </c>
      <c r="E515" s="168" t="s">
        <v>28</v>
      </c>
      <c r="F515" s="183">
        <f>SUM(F510:F514)</f>
        <v>12078</v>
      </c>
      <c r="H515" s="143"/>
      <c r="I515" s="143"/>
      <c r="J515" s="143"/>
      <c r="K515" s="143"/>
    </row>
    <row r="516" ht="12" customHeight="1"/>
    <row r="517" spans="1:11" s="144" customFormat="1" ht="15">
      <c r="A517" s="318" t="s">
        <v>348</v>
      </c>
      <c r="B517" s="318"/>
      <c r="C517" s="318"/>
      <c r="D517" s="318"/>
      <c r="E517" s="318"/>
      <c r="F517" s="318"/>
      <c r="G517" s="143"/>
      <c r="H517" s="141"/>
      <c r="I517" s="141"/>
      <c r="J517" s="141"/>
      <c r="K517" s="141"/>
    </row>
    <row r="518" ht="10.5" customHeight="1"/>
    <row r="519" spans="1:6" ht="30" customHeight="1">
      <c r="A519" s="150" t="s">
        <v>249</v>
      </c>
      <c r="B519" s="328" t="s">
        <v>320</v>
      </c>
      <c r="C519" s="328"/>
      <c r="D519" s="328"/>
      <c r="E519" s="150" t="s">
        <v>349</v>
      </c>
      <c r="F519" s="150" t="s">
        <v>350</v>
      </c>
    </row>
    <row r="520" spans="1:11" s="141" customFormat="1" ht="15">
      <c r="A520" s="152">
        <v>1</v>
      </c>
      <c r="B520" s="328">
        <v>2</v>
      </c>
      <c r="C520" s="328"/>
      <c r="D520" s="328"/>
      <c r="E520" s="152">
        <v>3</v>
      </c>
      <c r="F520" s="152">
        <v>4</v>
      </c>
      <c r="H520" s="143"/>
      <c r="I520" s="143"/>
      <c r="J520" s="143"/>
      <c r="K520" s="143"/>
    </row>
    <row r="521" spans="1:6" ht="15" customHeight="1" hidden="1">
      <c r="A521" s="155"/>
      <c r="B521" s="328"/>
      <c r="C521" s="328"/>
      <c r="D521" s="328"/>
      <c r="E521" s="168"/>
      <c r="F521" s="183">
        <f>ROUND(D521*E521,0)</f>
        <v>0</v>
      </c>
    </row>
    <row r="522" spans="1:6" ht="16.5" customHeight="1">
      <c r="A522" s="155"/>
      <c r="B522" s="337" t="s">
        <v>433</v>
      </c>
      <c r="C522" s="338"/>
      <c r="D522" s="339"/>
      <c r="E522" s="168"/>
      <c r="F522" s="183">
        <v>285584</v>
      </c>
    </row>
    <row r="523" spans="1:6" ht="15" customHeight="1" hidden="1">
      <c r="A523" s="155"/>
      <c r="B523" s="337" t="s">
        <v>434</v>
      </c>
      <c r="C523" s="338"/>
      <c r="D523" s="339"/>
      <c r="E523" s="168"/>
      <c r="F523" s="183">
        <f>ROUND(D523*E523,0)</f>
        <v>0</v>
      </c>
    </row>
    <row r="524" spans="1:11" ht="15" customHeight="1" hidden="1">
      <c r="A524" s="155"/>
      <c r="B524" s="328"/>
      <c r="C524" s="328"/>
      <c r="D524" s="328"/>
      <c r="E524" s="168"/>
      <c r="F524" s="183">
        <f>ROUND(D524*E524,0)</f>
        <v>0</v>
      </c>
      <c r="H524" s="144"/>
      <c r="I524" s="144"/>
      <c r="J524" s="144"/>
      <c r="K524" s="144"/>
    </row>
    <row r="525" spans="1:6" ht="15" customHeight="1">
      <c r="A525" s="155"/>
      <c r="B525" s="335" t="s">
        <v>287</v>
      </c>
      <c r="C525" s="335"/>
      <c r="D525" s="335"/>
      <c r="E525" s="168" t="s">
        <v>28</v>
      </c>
      <c r="F525" s="183">
        <f>SUM(F521:F524)</f>
        <v>285584</v>
      </c>
    </row>
    <row r="526" spans="8:11" ht="12" customHeight="1">
      <c r="H526" s="151"/>
      <c r="I526" s="151"/>
      <c r="J526" s="151"/>
      <c r="K526" s="151"/>
    </row>
    <row r="527" spans="1:11" s="144" customFormat="1" ht="15">
      <c r="A527" s="336" t="s">
        <v>351</v>
      </c>
      <c r="B527" s="336"/>
      <c r="C527" s="336"/>
      <c r="D527" s="336"/>
      <c r="E527" s="336"/>
      <c r="F527" s="336"/>
      <c r="G527" s="143"/>
      <c r="H527" s="154"/>
      <c r="I527" s="154"/>
      <c r="J527" s="154"/>
      <c r="K527" s="154"/>
    </row>
    <row r="528" spans="8:11" ht="10.5" customHeight="1">
      <c r="H528" s="158"/>
      <c r="I528" s="158"/>
      <c r="J528" s="158"/>
      <c r="K528" s="158"/>
    </row>
    <row r="529" spans="1:11" s="151" customFormat="1" ht="25.5">
      <c r="A529" s="150" t="s">
        <v>249</v>
      </c>
      <c r="B529" s="328" t="s">
        <v>320</v>
      </c>
      <c r="C529" s="328"/>
      <c r="D529" s="150" t="s">
        <v>341</v>
      </c>
      <c r="E529" s="181" t="s">
        <v>352</v>
      </c>
      <c r="F529" s="150" t="s">
        <v>353</v>
      </c>
      <c r="H529" s="158"/>
      <c r="I529" s="158"/>
      <c r="J529" s="158"/>
      <c r="K529" s="158"/>
    </row>
    <row r="530" spans="1:11" s="154" customFormat="1" ht="12.75">
      <c r="A530" s="152"/>
      <c r="B530" s="328">
        <v>1</v>
      </c>
      <c r="C530" s="328"/>
      <c r="D530" s="152">
        <v>2</v>
      </c>
      <c r="E530" s="152">
        <v>3</v>
      </c>
      <c r="F530" s="152">
        <v>4</v>
      </c>
      <c r="H530" s="158"/>
      <c r="I530" s="158"/>
      <c r="J530" s="158"/>
      <c r="K530" s="158"/>
    </row>
    <row r="531" spans="1:6" s="158" customFormat="1" ht="15" customHeight="1">
      <c r="A531" s="155" t="s">
        <v>260</v>
      </c>
      <c r="B531" s="329" t="s">
        <v>554</v>
      </c>
      <c r="C531" s="331"/>
      <c r="D531" s="168">
        <v>20</v>
      </c>
      <c r="E531" s="168">
        <v>12</v>
      </c>
      <c r="F531" s="168">
        <f aca="true" t="shared" si="8" ref="F531:F609">D531*E531</f>
        <v>240</v>
      </c>
    </row>
    <row r="532" spans="1:6" s="158" customFormat="1" ht="15" customHeight="1">
      <c r="A532" s="155" t="s">
        <v>262</v>
      </c>
      <c r="B532" s="329" t="s">
        <v>555</v>
      </c>
      <c r="C532" s="331"/>
      <c r="D532" s="168">
        <v>20</v>
      </c>
      <c r="E532" s="168">
        <v>26</v>
      </c>
      <c r="F532" s="168">
        <f t="shared" si="8"/>
        <v>520</v>
      </c>
    </row>
    <row r="533" spans="1:6" s="158" customFormat="1" ht="15" customHeight="1">
      <c r="A533" s="155" t="s">
        <v>264</v>
      </c>
      <c r="B533" s="329" t="s">
        <v>556</v>
      </c>
      <c r="C533" s="331"/>
      <c r="D533" s="168">
        <v>5</v>
      </c>
      <c r="E533" s="168">
        <v>130</v>
      </c>
      <c r="F533" s="168">
        <f t="shared" si="8"/>
        <v>650</v>
      </c>
    </row>
    <row r="534" spans="1:6" s="158" customFormat="1" ht="15" customHeight="1">
      <c r="A534" s="155" t="s">
        <v>265</v>
      </c>
      <c r="B534" s="328" t="s">
        <v>557</v>
      </c>
      <c r="C534" s="328"/>
      <c r="D534" s="168">
        <v>9</v>
      </c>
      <c r="E534" s="168">
        <v>220</v>
      </c>
      <c r="F534" s="168">
        <f t="shared" si="8"/>
        <v>1980</v>
      </c>
    </row>
    <row r="535" spans="1:6" s="158" customFormat="1" ht="15" customHeight="1">
      <c r="A535" s="155" t="s">
        <v>267</v>
      </c>
      <c r="B535" s="328" t="s">
        <v>558</v>
      </c>
      <c r="C535" s="328"/>
      <c r="D535" s="168">
        <v>2</v>
      </c>
      <c r="E535" s="168">
        <v>1800</v>
      </c>
      <c r="F535" s="168">
        <f t="shared" si="8"/>
        <v>3600</v>
      </c>
    </row>
    <row r="536" spans="1:6" s="158" customFormat="1" ht="15" customHeight="1">
      <c r="A536" s="155" t="s">
        <v>268</v>
      </c>
      <c r="B536" s="328" t="s">
        <v>559</v>
      </c>
      <c r="C536" s="328"/>
      <c r="D536" s="168">
        <v>4</v>
      </c>
      <c r="E536" s="168">
        <v>860</v>
      </c>
      <c r="F536" s="168">
        <f t="shared" si="8"/>
        <v>3440</v>
      </c>
    </row>
    <row r="537" spans="1:6" s="158" customFormat="1" ht="15" customHeight="1">
      <c r="A537" s="155" t="s">
        <v>269</v>
      </c>
      <c r="B537" s="328" t="s">
        <v>560</v>
      </c>
      <c r="C537" s="328"/>
      <c r="D537" s="168">
        <v>1</v>
      </c>
      <c r="E537" s="168">
        <v>3800</v>
      </c>
      <c r="F537" s="168">
        <f t="shared" si="8"/>
        <v>3800</v>
      </c>
    </row>
    <row r="538" spans="1:6" s="158" customFormat="1" ht="15" customHeight="1">
      <c r="A538" s="155" t="s">
        <v>270</v>
      </c>
      <c r="B538" s="328" t="s">
        <v>561</v>
      </c>
      <c r="C538" s="328"/>
      <c r="D538" s="168">
        <v>40</v>
      </c>
      <c r="E538" s="168">
        <v>28</v>
      </c>
      <c r="F538" s="168">
        <f t="shared" si="8"/>
        <v>1120</v>
      </c>
    </row>
    <row r="539" spans="1:6" s="158" customFormat="1" ht="15" customHeight="1">
      <c r="A539" s="155" t="s">
        <v>271</v>
      </c>
      <c r="B539" s="328" t="s">
        <v>562</v>
      </c>
      <c r="C539" s="328"/>
      <c r="D539" s="168">
        <v>3</v>
      </c>
      <c r="E539" s="168">
        <v>74</v>
      </c>
      <c r="F539" s="168">
        <f t="shared" si="8"/>
        <v>222</v>
      </c>
    </row>
    <row r="540" spans="1:6" s="158" customFormat="1" ht="15" customHeight="1">
      <c r="A540" s="155" t="s">
        <v>272</v>
      </c>
      <c r="B540" s="328" t="s">
        <v>563</v>
      </c>
      <c r="C540" s="328"/>
      <c r="D540" s="168">
        <v>4</v>
      </c>
      <c r="E540" s="168">
        <v>268</v>
      </c>
      <c r="F540" s="168">
        <f t="shared" si="8"/>
        <v>1072</v>
      </c>
    </row>
    <row r="541" spans="1:6" s="158" customFormat="1" ht="15" customHeight="1">
      <c r="A541" s="155" t="s">
        <v>273</v>
      </c>
      <c r="B541" s="329" t="s">
        <v>564</v>
      </c>
      <c r="C541" s="331"/>
      <c r="D541" s="168">
        <v>4</v>
      </c>
      <c r="E541" s="168">
        <v>164</v>
      </c>
      <c r="F541" s="168">
        <f t="shared" si="8"/>
        <v>656</v>
      </c>
    </row>
    <row r="542" spans="1:6" s="158" customFormat="1" ht="15" customHeight="1">
      <c r="A542" s="155" t="s">
        <v>274</v>
      </c>
      <c r="B542" s="329" t="s">
        <v>565</v>
      </c>
      <c r="C542" s="331"/>
      <c r="D542" s="168">
        <v>2</v>
      </c>
      <c r="E542" s="168">
        <v>136</v>
      </c>
      <c r="F542" s="168">
        <f t="shared" si="8"/>
        <v>272</v>
      </c>
    </row>
    <row r="543" spans="1:6" s="158" customFormat="1" ht="15" customHeight="1">
      <c r="A543" s="155" t="s">
        <v>276</v>
      </c>
      <c r="B543" s="329" t="s">
        <v>566</v>
      </c>
      <c r="C543" s="331"/>
      <c r="D543" s="168">
        <v>4</v>
      </c>
      <c r="E543" s="168">
        <v>166</v>
      </c>
      <c r="F543" s="168">
        <f t="shared" si="8"/>
        <v>664</v>
      </c>
    </row>
    <row r="544" spans="1:6" s="158" customFormat="1" ht="15" customHeight="1">
      <c r="A544" s="155" t="s">
        <v>278</v>
      </c>
      <c r="B544" s="329" t="s">
        <v>567</v>
      </c>
      <c r="C544" s="331"/>
      <c r="D544" s="168">
        <v>1</v>
      </c>
      <c r="E544" s="168">
        <v>415</v>
      </c>
      <c r="F544" s="168">
        <f t="shared" si="8"/>
        <v>415</v>
      </c>
    </row>
    <row r="545" spans="1:6" s="158" customFormat="1" ht="15" customHeight="1">
      <c r="A545" s="155" t="s">
        <v>280</v>
      </c>
      <c r="B545" s="329" t="s">
        <v>568</v>
      </c>
      <c r="C545" s="331"/>
      <c r="D545" s="168">
        <v>2</v>
      </c>
      <c r="E545" s="168">
        <v>43</v>
      </c>
      <c r="F545" s="168">
        <f t="shared" si="8"/>
        <v>86</v>
      </c>
    </row>
    <row r="546" spans="1:6" s="158" customFormat="1" ht="15" customHeight="1">
      <c r="A546" s="155" t="s">
        <v>282</v>
      </c>
      <c r="B546" s="329" t="s">
        <v>569</v>
      </c>
      <c r="C546" s="331"/>
      <c r="D546" s="168">
        <v>2</v>
      </c>
      <c r="E546" s="168">
        <v>278</v>
      </c>
      <c r="F546" s="168">
        <f t="shared" si="8"/>
        <v>556</v>
      </c>
    </row>
    <row r="547" spans="1:6" s="158" customFormat="1" ht="15" customHeight="1">
      <c r="A547" s="155" t="s">
        <v>283</v>
      </c>
      <c r="B547" s="329" t="s">
        <v>570</v>
      </c>
      <c r="C547" s="331"/>
      <c r="D547" s="168">
        <v>2</v>
      </c>
      <c r="E547" s="168">
        <v>1620</v>
      </c>
      <c r="F547" s="168">
        <f t="shared" si="8"/>
        <v>3240</v>
      </c>
    </row>
    <row r="548" spans="1:6" s="158" customFormat="1" ht="15" customHeight="1">
      <c r="A548" s="155" t="s">
        <v>285</v>
      </c>
      <c r="B548" s="329" t="s">
        <v>571</v>
      </c>
      <c r="C548" s="331"/>
      <c r="D548" s="168">
        <v>1</v>
      </c>
      <c r="E548" s="168">
        <v>1910</v>
      </c>
      <c r="F548" s="168">
        <f t="shared" si="8"/>
        <v>1910</v>
      </c>
    </row>
    <row r="549" spans="1:6" s="158" customFormat="1" ht="15" customHeight="1">
      <c r="A549" s="155" t="s">
        <v>475</v>
      </c>
      <c r="B549" s="329" t="s">
        <v>572</v>
      </c>
      <c r="C549" s="331"/>
      <c r="D549" s="168">
        <v>1</v>
      </c>
      <c r="E549" s="168">
        <v>4500</v>
      </c>
      <c r="F549" s="168">
        <f t="shared" si="8"/>
        <v>4500</v>
      </c>
    </row>
    <row r="550" spans="1:6" s="158" customFormat="1" ht="15" customHeight="1">
      <c r="A550" s="155" t="s">
        <v>477</v>
      </c>
      <c r="B550" s="329" t="s">
        <v>573</v>
      </c>
      <c r="C550" s="331"/>
      <c r="D550" s="168">
        <v>1</v>
      </c>
      <c r="E550" s="168">
        <v>1500</v>
      </c>
      <c r="F550" s="168">
        <f t="shared" si="8"/>
        <v>1500</v>
      </c>
    </row>
    <row r="551" spans="1:6" s="158" customFormat="1" ht="15" customHeight="1">
      <c r="A551" s="155" t="s">
        <v>479</v>
      </c>
      <c r="B551" s="329" t="s">
        <v>574</v>
      </c>
      <c r="C551" s="331"/>
      <c r="D551" s="168">
        <v>10</v>
      </c>
      <c r="E551" s="168">
        <v>860</v>
      </c>
      <c r="F551" s="168">
        <f t="shared" si="8"/>
        <v>8600</v>
      </c>
    </row>
    <row r="552" spans="1:6" s="158" customFormat="1" ht="15" customHeight="1">
      <c r="A552" s="155" t="s">
        <v>481</v>
      </c>
      <c r="B552" s="329" t="s">
        <v>575</v>
      </c>
      <c r="C552" s="331"/>
      <c r="D552" s="168">
        <v>100</v>
      </c>
      <c r="E552" s="168">
        <v>38</v>
      </c>
      <c r="F552" s="168">
        <f t="shared" si="8"/>
        <v>3800</v>
      </c>
    </row>
    <row r="553" spans="1:6" s="158" customFormat="1" ht="15" customHeight="1">
      <c r="A553" s="155" t="s">
        <v>547</v>
      </c>
      <c r="B553" s="329" t="s">
        <v>576</v>
      </c>
      <c r="C553" s="331"/>
      <c r="D553" s="168">
        <v>50</v>
      </c>
      <c r="E553" s="168">
        <v>35</v>
      </c>
      <c r="F553" s="168">
        <f t="shared" si="8"/>
        <v>1750</v>
      </c>
    </row>
    <row r="554" spans="1:6" s="158" customFormat="1" ht="15" customHeight="1">
      <c r="A554" s="155" t="s">
        <v>549</v>
      </c>
      <c r="B554" s="329" t="s">
        <v>577</v>
      </c>
      <c r="C554" s="331"/>
      <c r="D554" s="168">
        <v>35</v>
      </c>
      <c r="E554" s="168">
        <v>62</v>
      </c>
      <c r="F554" s="168">
        <f t="shared" si="8"/>
        <v>2170</v>
      </c>
    </row>
    <row r="555" spans="1:6" s="158" customFormat="1" ht="15" customHeight="1">
      <c r="A555" s="155" t="s">
        <v>550</v>
      </c>
      <c r="B555" s="329" t="s">
        <v>524</v>
      </c>
      <c r="C555" s="331"/>
      <c r="D555" s="168">
        <v>59</v>
      </c>
      <c r="E555" s="168">
        <v>17</v>
      </c>
      <c r="F555" s="168">
        <f t="shared" si="8"/>
        <v>1003</v>
      </c>
    </row>
    <row r="556" spans="1:6" s="158" customFormat="1" ht="15" customHeight="1">
      <c r="A556" s="155" t="s">
        <v>552</v>
      </c>
      <c r="B556" s="329" t="s">
        <v>578</v>
      </c>
      <c r="C556" s="331"/>
      <c r="D556" s="168">
        <v>24</v>
      </c>
      <c r="E556" s="168">
        <v>51</v>
      </c>
      <c r="F556" s="168">
        <f t="shared" si="8"/>
        <v>1224</v>
      </c>
    </row>
    <row r="557" spans="1:6" s="158" customFormat="1" ht="15" customHeight="1">
      <c r="A557" s="155" t="s">
        <v>579</v>
      </c>
      <c r="B557" s="329" t="s">
        <v>527</v>
      </c>
      <c r="C557" s="331"/>
      <c r="D557" s="168">
        <v>120</v>
      </c>
      <c r="E557" s="168">
        <v>16</v>
      </c>
      <c r="F557" s="168">
        <f t="shared" si="8"/>
        <v>1920</v>
      </c>
    </row>
    <row r="558" spans="1:6" s="158" customFormat="1" ht="15" customHeight="1">
      <c r="A558" s="155" t="s">
        <v>580</v>
      </c>
      <c r="B558" s="329" t="s">
        <v>528</v>
      </c>
      <c r="C558" s="331"/>
      <c r="D558" s="168">
        <v>30</v>
      </c>
      <c r="E558" s="168">
        <v>20</v>
      </c>
      <c r="F558" s="168">
        <f t="shared" si="8"/>
        <v>600</v>
      </c>
    </row>
    <row r="559" spans="1:6" s="158" customFormat="1" ht="15" customHeight="1">
      <c r="A559" s="155" t="s">
        <v>581</v>
      </c>
      <c r="B559" s="329" t="s">
        <v>582</v>
      </c>
      <c r="C559" s="331"/>
      <c r="D559" s="168">
        <v>2</v>
      </c>
      <c r="E559" s="168">
        <v>316</v>
      </c>
      <c r="F559" s="168">
        <f t="shared" si="8"/>
        <v>632</v>
      </c>
    </row>
    <row r="560" spans="1:6" s="158" customFormat="1" ht="15" customHeight="1">
      <c r="A560" s="155" t="s">
        <v>583</v>
      </c>
      <c r="B560" s="329" t="s">
        <v>584</v>
      </c>
      <c r="C560" s="331"/>
      <c r="D560" s="168">
        <v>1</v>
      </c>
      <c r="E560" s="168">
        <v>915</v>
      </c>
      <c r="F560" s="168">
        <f t="shared" si="8"/>
        <v>915</v>
      </c>
    </row>
    <row r="561" spans="1:6" s="158" customFormat="1" ht="15" customHeight="1">
      <c r="A561" s="155" t="s">
        <v>585</v>
      </c>
      <c r="B561" s="329" t="s">
        <v>586</v>
      </c>
      <c r="C561" s="331"/>
      <c r="D561" s="168">
        <v>3</v>
      </c>
      <c r="E561" s="168">
        <v>378</v>
      </c>
      <c r="F561" s="168">
        <f t="shared" si="8"/>
        <v>1134</v>
      </c>
    </row>
    <row r="562" spans="1:6" s="158" customFormat="1" ht="15" customHeight="1">
      <c r="A562" s="155" t="s">
        <v>587</v>
      </c>
      <c r="B562" s="329" t="s">
        <v>588</v>
      </c>
      <c r="C562" s="331"/>
      <c r="D562" s="168">
        <v>1</v>
      </c>
      <c r="E562" s="168">
        <v>800</v>
      </c>
      <c r="F562" s="168">
        <f t="shared" si="8"/>
        <v>800</v>
      </c>
    </row>
    <row r="563" spans="1:6" s="158" customFormat="1" ht="15" customHeight="1">
      <c r="A563" s="155" t="s">
        <v>589</v>
      </c>
      <c r="B563" s="329" t="s">
        <v>590</v>
      </c>
      <c r="C563" s="331"/>
      <c r="D563" s="168">
        <v>6</v>
      </c>
      <c r="E563" s="168">
        <v>240</v>
      </c>
      <c r="F563" s="168">
        <f t="shared" si="8"/>
        <v>1440</v>
      </c>
    </row>
    <row r="564" spans="1:6" s="158" customFormat="1" ht="15" customHeight="1">
      <c r="A564" s="155" t="s">
        <v>591</v>
      </c>
      <c r="B564" s="329" t="s">
        <v>592</v>
      </c>
      <c r="C564" s="331"/>
      <c r="D564" s="168">
        <v>1</v>
      </c>
      <c r="E564" s="168">
        <v>280</v>
      </c>
      <c r="F564" s="168">
        <f t="shared" si="8"/>
        <v>280</v>
      </c>
    </row>
    <row r="565" spans="1:6" s="158" customFormat="1" ht="15" customHeight="1">
      <c r="A565" s="155" t="s">
        <v>593</v>
      </c>
      <c r="B565" s="329" t="s">
        <v>594</v>
      </c>
      <c r="C565" s="331"/>
      <c r="D565" s="168">
        <v>1</v>
      </c>
      <c r="E565" s="168">
        <v>315</v>
      </c>
      <c r="F565" s="168">
        <f t="shared" si="8"/>
        <v>315</v>
      </c>
    </row>
    <row r="566" spans="1:6" s="158" customFormat="1" ht="15" customHeight="1">
      <c r="A566" s="155" t="s">
        <v>595</v>
      </c>
      <c r="B566" s="329" t="s">
        <v>596</v>
      </c>
      <c r="C566" s="331"/>
      <c r="D566" s="168">
        <v>12</v>
      </c>
      <c r="E566" s="168">
        <v>80</v>
      </c>
      <c r="F566" s="168">
        <f t="shared" si="8"/>
        <v>960</v>
      </c>
    </row>
    <row r="567" spans="1:6" s="158" customFormat="1" ht="15" customHeight="1">
      <c r="A567" s="155" t="s">
        <v>597</v>
      </c>
      <c r="B567" s="329" t="s">
        <v>465</v>
      </c>
      <c r="C567" s="331"/>
      <c r="D567" s="168">
        <v>8</v>
      </c>
      <c r="E567" s="168">
        <v>53</v>
      </c>
      <c r="F567" s="168">
        <f t="shared" si="8"/>
        <v>424</v>
      </c>
    </row>
    <row r="568" spans="1:6" s="158" customFormat="1" ht="15" customHeight="1">
      <c r="A568" s="155" t="s">
        <v>598</v>
      </c>
      <c r="B568" s="329" t="s">
        <v>551</v>
      </c>
      <c r="C568" s="331"/>
      <c r="D568" s="168">
        <v>12</v>
      </c>
      <c r="E568" s="168">
        <v>96</v>
      </c>
      <c r="F568" s="168">
        <f t="shared" si="8"/>
        <v>1152</v>
      </c>
    </row>
    <row r="569" spans="1:6" s="158" customFormat="1" ht="15" customHeight="1">
      <c r="A569" s="155" t="s">
        <v>599</v>
      </c>
      <c r="B569" s="329" t="s">
        <v>502</v>
      </c>
      <c r="C569" s="331"/>
      <c r="D569" s="168">
        <v>1</v>
      </c>
      <c r="E569" s="168">
        <v>220</v>
      </c>
      <c r="F569" s="168">
        <f t="shared" si="8"/>
        <v>220</v>
      </c>
    </row>
    <row r="570" spans="1:6" s="158" customFormat="1" ht="15" customHeight="1">
      <c r="A570" s="155" t="s">
        <v>600</v>
      </c>
      <c r="B570" s="329" t="s">
        <v>601</v>
      </c>
      <c r="C570" s="331"/>
      <c r="D570" s="168">
        <v>3</v>
      </c>
      <c r="E570" s="168">
        <v>144</v>
      </c>
      <c r="F570" s="168">
        <f t="shared" si="8"/>
        <v>432</v>
      </c>
    </row>
    <row r="571" spans="1:6" s="158" customFormat="1" ht="15" customHeight="1">
      <c r="A571" s="155" t="s">
        <v>602</v>
      </c>
      <c r="B571" s="329" t="s">
        <v>603</v>
      </c>
      <c r="C571" s="331"/>
      <c r="D571" s="168">
        <v>2</v>
      </c>
      <c r="E571" s="168">
        <v>253</v>
      </c>
      <c r="F571" s="168">
        <f t="shared" si="8"/>
        <v>506</v>
      </c>
    </row>
    <row r="572" spans="1:6" s="158" customFormat="1" ht="15" customHeight="1">
      <c r="A572" s="155" t="s">
        <v>604</v>
      </c>
      <c r="B572" s="329" t="s">
        <v>605</v>
      </c>
      <c r="C572" s="331"/>
      <c r="D572" s="168">
        <v>1</v>
      </c>
      <c r="E572" s="168">
        <v>860</v>
      </c>
      <c r="F572" s="168">
        <f t="shared" si="8"/>
        <v>860</v>
      </c>
    </row>
    <row r="573" spans="1:6" s="158" customFormat="1" ht="15" customHeight="1">
      <c r="A573" s="155" t="s">
        <v>606</v>
      </c>
      <c r="B573" s="329" t="s">
        <v>607</v>
      </c>
      <c r="C573" s="331"/>
      <c r="D573" s="168">
        <v>1</v>
      </c>
      <c r="E573" s="168">
        <v>86</v>
      </c>
      <c r="F573" s="168">
        <f t="shared" si="8"/>
        <v>86</v>
      </c>
    </row>
    <row r="574" spans="1:6" s="158" customFormat="1" ht="15" customHeight="1">
      <c r="A574" s="155" t="s">
        <v>608</v>
      </c>
      <c r="B574" s="329" t="s">
        <v>609</v>
      </c>
      <c r="C574" s="331"/>
      <c r="D574" s="168">
        <v>1</v>
      </c>
      <c r="E574" s="168">
        <v>320</v>
      </c>
      <c r="F574" s="168">
        <f t="shared" si="8"/>
        <v>320</v>
      </c>
    </row>
    <row r="575" spans="1:6" s="158" customFormat="1" ht="15" customHeight="1">
      <c r="A575" s="155" t="s">
        <v>610</v>
      </c>
      <c r="B575" s="329" t="s">
        <v>611</v>
      </c>
      <c r="C575" s="331"/>
      <c r="D575" s="168">
        <v>2</v>
      </c>
      <c r="E575" s="168">
        <v>425</v>
      </c>
      <c r="F575" s="168">
        <f t="shared" si="8"/>
        <v>850</v>
      </c>
    </row>
    <row r="576" spans="1:6" s="158" customFormat="1" ht="15" customHeight="1">
      <c r="A576" s="155" t="s">
        <v>612</v>
      </c>
      <c r="B576" s="329" t="s">
        <v>613</v>
      </c>
      <c r="C576" s="331"/>
      <c r="D576" s="168">
        <v>1</v>
      </c>
      <c r="E576" s="168">
        <v>370</v>
      </c>
      <c r="F576" s="168">
        <f t="shared" si="8"/>
        <v>370</v>
      </c>
    </row>
    <row r="577" spans="1:6" s="158" customFormat="1" ht="15" customHeight="1">
      <c r="A577" s="155" t="s">
        <v>614</v>
      </c>
      <c r="B577" s="329" t="s">
        <v>615</v>
      </c>
      <c r="C577" s="331"/>
      <c r="D577" s="168">
        <v>1</v>
      </c>
      <c r="E577" s="168">
        <v>80</v>
      </c>
      <c r="F577" s="168">
        <f t="shared" si="8"/>
        <v>80</v>
      </c>
    </row>
    <row r="578" spans="1:6" s="158" customFormat="1" ht="15" customHeight="1">
      <c r="A578" s="155" t="s">
        <v>616</v>
      </c>
      <c r="B578" s="329" t="s">
        <v>617</v>
      </c>
      <c r="C578" s="331"/>
      <c r="D578" s="168">
        <v>1</v>
      </c>
      <c r="E578" s="168">
        <v>75</v>
      </c>
      <c r="F578" s="168">
        <f t="shared" si="8"/>
        <v>75</v>
      </c>
    </row>
    <row r="579" spans="1:6" s="158" customFormat="1" ht="15" customHeight="1">
      <c r="A579" s="155" t="s">
        <v>618</v>
      </c>
      <c r="B579" s="329" t="s">
        <v>619</v>
      </c>
      <c r="C579" s="331"/>
      <c r="D579" s="168">
        <v>1</v>
      </c>
      <c r="E579" s="168">
        <v>385</v>
      </c>
      <c r="F579" s="168">
        <f t="shared" si="8"/>
        <v>385</v>
      </c>
    </row>
    <row r="580" spans="1:6" s="158" customFormat="1" ht="15" customHeight="1">
      <c r="A580" s="155" t="s">
        <v>620</v>
      </c>
      <c r="B580" s="329" t="s">
        <v>621</v>
      </c>
      <c r="C580" s="331"/>
      <c r="D580" s="168">
        <v>1</v>
      </c>
      <c r="E580" s="168">
        <v>290</v>
      </c>
      <c r="F580" s="168">
        <f t="shared" si="8"/>
        <v>290</v>
      </c>
    </row>
    <row r="581" spans="1:6" s="158" customFormat="1" ht="15" customHeight="1">
      <c r="A581" s="155" t="s">
        <v>622</v>
      </c>
      <c r="B581" s="329" t="s">
        <v>623</v>
      </c>
      <c r="C581" s="331"/>
      <c r="D581" s="168">
        <v>5</v>
      </c>
      <c r="E581" s="168">
        <v>175</v>
      </c>
      <c r="F581" s="168">
        <f t="shared" si="8"/>
        <v>875</v>
      </c>
    </row>
    <row r="582" spans="1:6" s="158" customFormat="1" ht="15" customHeight="1">
      <c r="A582" s="155" t="s">
        <v>624</v>
      </c>
      <c r="B582" s="329" t="s">
        <v>625</v>
      </c>
      <c r="C582" s="331"/>
      <c r="D582" s="168">
        <v>2</v>
      </c>
      <c r="E582" s="168">
        <v>315</v>
      </c>
      <c r="F582" s="168">
        <f t="shared" si="8"/>
        <v>630</v>
      </c>
    </row>
    <row r="583" spans="1:6" s="158" customFormat="1" ht="15" customHeight="1">
      <c r="A583" s="155" t="s">
        <v>626</v>
      </c>
      <c r="B583" s="329" t="s">
        <v>627</v>
      </c>
      <c r="C583" s="331"/>
      <c r="D583" s="168">
        <v>1</v>
      </c>
      <c r="E583" s="168">
        <v>870</v>
      </c>
      <c r="F583" s="168">
        <f t="shared" si="8"/>
        <v>870</v>
      </c>
    </row>
    <row r="584" spans="1:6" s="158" customFormat="1" ht="15" customHeight="1">
      <c r="A584" s="155" t="s">
        <v>628</v>
      </c>
      <c r="B584" s="329" t="s">
        <v>573</v>
      </c>
      <c r="C584" s="331"/>
      <c r="D584" s="168">
        <v>1</v>
      </c>
      <c r="E584" s="168">
        <v>1500</v>
      </c>
      <c r="F584" s="168">
        <f t="shared" si="8"/>
        <v>1500</v>
      </c>
    </row>
    <row r="585" spans="1:6" s="158" customFormat="1" ht="15" customHeight="1">
      <c r="A585" s="155" t="s">
        <v>629</v>
      </c>
      <c r="B585" s="329" t="s">
        <v>630</v>
      </c>
      <c r="C585" s="331"/>
      <c r="D585" s="168">
        <v>1</v>
      </c>
      <c r="E585" s="168">
        <v>98</v>
      </c>
      <c r="F585" s="168">
        <f t="shared" si="8"/>
        <v>98</v>
      </c>
    </row>
    <row r="586" spans="1:6" s="158" customFormat="1" ht="15" customHeight="1">
      <c r="A586" s="155" t="s">
        <v>631</v>
      </c>
      <c r="B586" s="329" t="s">
        <v>632</v>
      </c>
      <c r="C586" s="331"/>
      <c r="D586" s="168">
        <v>1</v>
      </c>
      <c r="E586" s="168">
        <v>305</v>
      </c>
      <c r="F586" s="168">
        <f t="shared" si="8"/>
        <v>305</v>
      </c>
    </row>
    <row r="587" spans="1:6" s="158" customFormat="1" ht="15" customHeight="1">
      <c r="A587" s="155" t="s">
        <v>633</v>
      </c>
      <c r="B587" s="329" t="s">
        <v>634</v>
      </c>
      <c r="C587" s="331"/>
      <c r="D587" s="168">
        <v>1</v>
      </c>
      <c r="E587" s="168">
        <v>498</v>
      </c>
      <c r="F587" s="168">
        <f t="shared" si="8"/>
        <v>498</v>
      </c>
    </row>
    <row r="588" spans="1:6" s="158" customFormat="1" ht="15" customHeight="1">
      <c r="A588" s="155" t="s">
        <v>635</v>
      </c>
      <c r="B588" s="329" t="s">
        <v>636</v>
      </c>
      <c r="C588" s="331"/>
      <c r="D588" s="168">
        <v>1</v>
      </c>
      <c r="E588" s="168">
        <v>110</v>
      </c>
      <c r="F588" s="168">
        <f t="shared" si="8"/>
        <v>110</v>
      </c>
    </row>
    <row r="589" spans="1:6" s="158" customFormat="1" ht="15" customHeight="1">
      <c r="A589" s="155" t="s">
        <v>637</v>
      </c>
      <c r="B589" s="329" t="s">
        <v>509</v>
      </c>
      <c r="C589" s="331"/>
      <c r="D589" s="168">
        <v>4</v>
      </c>
      <c r="E589" s="168">
        <v>80</v>
      </c>
      <c r="F589" s="168">
        <f t="shared" si="8"/>
        <v>320</v>
      </c>
    </row>
    <row r="590" spans="1:6" s="158" customFormat="1" ht="15" customHeight="1">
      <c r="A590" s="155" t="s">
        <v>638</v>
      </c>
      <c r="B590" s="329" t="s">
        <v>469</v>
      </c>
      <c r="C590" s="331"/>
      <c r="D590" s="168">
        <v>5</v>
      </c>
      <c r="E590" s="168">
        <v>45</v>
      </c>
      <c r="F590" s="168">
        <f t="shared" si="8"/>
        <v>225</v>
      </c>
    </row>
    <row r="591" spans="1:6" s="158" customFormat="1" ht="15" customHeight="1">
      <c r="A591" s="155" t="s">
        <v>639</v>
      </c>
      <c r="B591" s="328" t="s">
        <v>468</v>
      </c>
      <c r="C591" s="328"/>
      <c r="D591" s="168">
        <v>2</v>
      </c>
      <c r="E591" s="168">
        <v>165</v>
      </c>
      <c r="F591" s="168">
        <f t="shared" si="8"/>
        <v>330</v>
      </c>
    </row>
    <row r="592" spans="1:6" s="158" customFormat="1" ht="15" customHeight="1">
      <c r="A592" s="155" t="s">
        <v>640</v>
      </c>
      <c r="B592" s="328" t="s">
        <v>641</v>
      </c>
      <c r="C592" s="328"/>
      <c r="D592" s="168">
        <v>1</v>
      </c>
      <c r="E592" s="168">
        <v>445</v>
      </c>
      <c r="F592" s="168">
        <f t="shared" si="8"/>
        <v>445</v>
      </c>
    </row>
    <row r="593" spans="1:6" s="158" customFormat="1" ht="15" customHeight="1">
      <c r="A593" s="155" t="s">
        <v>642</v>
      </c>
      <c r="B593" s="328" t="s">
        <v>643</v>
      </c>
      <c r="C593" s="328"/>
      <c r="D593" s="168">
        <v>2</v>
      </c>
      <c r="E593" s="168">
        <v>340</v>
      </c>
      <c r="F593" s="168">
        <f t="shared" si="8"/>
        <v>680</v>
      </c>
    </row>
    <row r="594" spans="1:6" s="158" customFormat="1" ht="15" customHeight="1">
      <c r="A594" s="155" t="s">
        <v>644</v>
      </c>
      <c r="B594" s="328" t="s">
        <v>645</v>
      </c>
      <c r="C594" s="328"/>
      <c r="D594" s="168">
        <v>1</v>
      </c>
      <c r="E594" s="168">
        <v>280</v>
      </c>
      <c r="F594" s="168">
        <f t="shared" si="8"/>
        <v>280</v>
      </c>
    </row>
    <row r="595" spans="1:6" s="158" customFormat="1" ht="15" customHeight="1">
      <c r="A595" s="155" t="s">
        <v>646</v>
      </c>
      <c r="B595" s="328" t="s">
        <v>647</v>
      </c>
      <c r="C595" s="328"/>
      <c r="D595" s="168">
        <v>5</v>
      </c>
      <c r="E595" s="168">
        <v>360</v>
      </c>
      <c r="F595" s="168">
        <f t="shared" si="8"/>
        <v>1800</v>
      </c>
    </row>
    <row r="596" spans="1:6" s="158" customFormat="1" ht="15" customHeight="1">
      <c r="A596" s="155" t="s">
        <v>648</v>
      </c>
      <c r="B596" s="328" t="s">
        <v>649</v>
      </c>
      <c r="C596" s="328"/>
      <c r="D596" s="168">
        <v>5</v>
      </c>
      <c r="E596" s="168">
        <v>280</v>
      </c>
      <c r="F596" s="168">
        <f t="shared" si="8"/>
        <v>1400</v>
      </c>
    </row>
    <row r="597" spans="1:6" s="158" customFormat="1" ht="15" customHeight="1">
      <c r="A597" s="155" t="s">
        <v>650</v>
      </c>
      <c r="B597" s="328" t="s">
        <v>651</v>
      </c>
      <c r="C597" s="328"/>
      <c r="D597" s="168">
        <v>2</v>
      </c>
      <c r="E597" s="168">
        <v>255</v>
      </c>
      <c r="F597" s="168">
        <f t="shared" si="8"/>
        <v>510</v>
      </c>
    </row>
    <row r="598" spans="1:6" s="158" customFormat="1" ht="15" customHeight="1">
      <c r="A598" s="155" t="s">
        <v>652</v>
      </c>
      <c r="B598" s="328" t="s">
        <v>653</v>
      </c>
      <c r="C598" s="328"/>
      <c r="D598" s="168">
        <v>5</v>
      </c>
      <c r="E598" s="168">
        <v>145</v>
      </c>
      <c r="F598" s="168">
        <f t="shared" si="8"/>
        <v>725</v>
      </c>
    </row>
    <row r="599" spans="1:6" s="158" customFormat="1" ht="15" customHeight="1">
      <c r="A599" s="155" t="s">
        <v>654</v>
      </c>
      <c r="B599" s="328" t="s">
        <v>655</v>
      </c>
      <c r="C599" s="328"/>
      <c r="D599" s="168">
        <v>2</v>
      </c>
      <c r="E599" s="168">
        <v>375</v>
      </c>
      <c r="F599" s="168">
        <f t="shared" si="8"/>
        <v>750</v>
      </c>
    </row>
    <row r="600" spans="1:6" s="158" customFormat="1" ht="15" customHeight="1">
      <c r="A600" s="155" t="s">
        <v>656</v>
      </c>
      <c r="B600" s="328" t="s">
        <v>657</v>
      </c>
      <c r="C600" s="328"/>
      <c r="D600" s="168">
        <v>2</v>
      </c>
      <c r="E600" s="168">
        <v>320</v>
      </c>
      <c r="F600" s="168">
        <f t="shared" si="8"/>
        <v>640</v>
      </c>
    </row>
    <row r="601" spans="1:6" s="158" customFormat="1" ht="15" customHeight="1">
      <c r="A601" s="155" t="s">
        <v>658</v>
      </c>
      <c r="B601" s="328" t="s">
        <v>659</v>
      </c>
      <c r="C601" s="328"/>
      <c r="D601" s="168">
        <v>6</v>
      </c>
      <c r="E601" s="168">
        <v>860</v>
      </c>
      <c r="F601" s="168">
        <f t="shared" si="8"/>
        <v>5160</v>
      </c>
    </row>
    <row r="602" spans="1:6" s="158" customFormat="1" ht="15" customHeight="1">
      <c r="A602" s="155" t="s">
        <v>660</v>
      </c>
      <c r="B602" s="328" t="s">
        <v>661</v>
      </c>
      <c r="C602" s="328"/>
      <c r="D602" s="168">
        <v>2</v>
      </c>
      <c r="E602" s="168">
        <v>176</v>
      </c>
      <c r="F602" s="168">
        <f t="shared" si="8"/>
        <v>352</v>
      </c>
    </row>
    <row r="603" spans="1:6" s="158" customFormat="1" ht="15" customHeight="1">
      <c r="A603" s="155" t="s">
        <v>662</v>
      </c>
      <c r="B603" s="328" t="s">
        <v>663</v>
      </c>
      <c r="C603" s="328"/>
      <c r="D603" s="168">
        <v>1</v>
      </c>
      <c r="E603" s="168">
        <v>262</v>
      </c>
      <c r="F603" s="168">
        <f t="shared" si="8"/>
        <v>262</v>
      </c>
    </row>
    <row r="604" spans="1:6" s="158" customFormat="1" ht="15" customHeight="1">
      <c r="A604" s="155" t="s">
        <v>664</v>
      </c>
      <c r="B604" s="328" t="s">
        <v>665</v>
      </c>
      <c r="C604" s="328"/>
      <c r="D604" s="168">
        <v>20</v>
      </c>
      <c r="E604" s="168">
        <v>78</v>
      </c>
      <c r="F604" s="168">
        <f t="shared" si="8"/>
        <v>1560</v>
      </c>
    </row>
    <row r="605" spans="1:6" s="158" customFormat="1" ht="15" customHeight="1">
      <c r="A605" s="155" t="s">
        <v>666</v>
      </c>
      <c r="B605" s="328" t="s">
        <v>667</v>
      </c>
      <c r="C605" s="328"/>
      <c r="D605" s="168">
        <v>30</v>
      </c>
      <c r="E605" s="168">
        <v>58</v>
      </c>
      <c r="F605" s="168">
        <f t="shared" si="8"/>
        <v>1740</v>
      </c>
    </row>
    <row r="606" spans="1:6" s="158" customFormat="1" ht="15" customHeight="1">
      <c r="A606" s="155" t="s">
        <v>668</v>
      </c>
      <c r="B606" s="328" t="s">
        <v>669</v>
      </c>
      <c r="C606" s="328"/>
      <c r="D606" s="168">
        <v>3</v>
      </c>
      <c r="E606" s="168">
        <v>230</v>
      </c>
      <c r="F606" s="168">
        <f t="shared" si="8"/>
        <v>690</v>
      </c>
    </row>
    <row r="607" spans="1:6" s="158" customFormat="1" ht="15" customHeight="1">
      <c r="A607" s="155" t="s">
        <v>670</v>
      </c>
      <c r="B607" s="329" t="s">
        <v>671</v>
      </c>
      <c r="C607" s="331"/>
      <c r="D607" s="168">
        <v>6</v>
      </c>
      <c r="E607" s="168">
        <v>200</v>
      </c>
      <c r="F607" s="168">
        <f t="shared" si="8"/>
        <v>1200</v>
      </c>
    </row>
    <row r="608" spans="1:6" s="158" customFormat="1" ht="15" customHeight="1">
      <c r="A608" s="155" t="s">
        <v>672</v>
      </c>
      <c r="B608" s="329" t="s">
        <v>673</v>
      </c>
      <c r="C608" s="331"/>
      <c r="D608" s="168">
        <v>6</v>
      </c>
      <c r="E608" s="168">
        <v>55</v>
      </c>
      <c r="F608" s="168">
        <f t="shared" si="8"/>
        <v>330</v>
      </c>
    </row>
    <row r="609" spans="1:6" s="158" customFormat="1" ht="15" customHeight="1">
      <c r="A609" s="155" t="s">
        <v>674</v>
      </c>
      <c r="B609" s="329" t="s">
        <v>675</v>
      </c>
      <c r="C609" s="331"/>
      <c r="D609" s="168">
        <v>4</v>
      </c>
      <c r="E609" s="168">
        <v>75</v>
      </c>
      <c r="F609" s="168">
        <f t="shared" si="8"/>
        <v>300</v>
      </c>
    </row>
    <row r="610" spans="1:6" s="158" customFormat="1" ht="10.5" customHeight="1">
      <c r="A610" s="155"/>
      <c r="B610" s="204"/>
      <c r="C610" s="205"/>
      <c r="D610" s="168"/>
      <c r="E610" s="168"/>
      <c r="F610" s="168"/>
    </row>
    <row r="611" spans="1:6" s="158" customFormat="1" ht="15" customHeight="1">
      <c r="A611" s="155" t="s">
        <v>260</v>
      </c>
      <c r="B611" s="333" t="s">
        <v>676</v>
      </c>
      <c r="C611" s="334"/>
      <c r="D611" s="214">
        <v>1</v>
      </c>
      <c r="E611" s="214">
        <v>1200</v>
      </c>
      <c r="F611" s="214">
        <f aca="true" t="shared" si="9" ref="F611:F617">D611*E611</f>
        <v>1200</v>
      </c>
    </row>
    <row r="612" spans="1:6" s="158" customFormat="1" ht="15" customHeight="1">
      <c r="A612" s="155" t="s">
        <v>262</v>
      </c>
      <c r="B612" s="333" t="s">
        <v>677</v>
      </c>
      <c r="C612" s="334"/>
      <c r="D612" s="214">
        <v>1</v>
      </c>
      <c r="E612" s="214">
        <v>1280</v>
      </c>
      <c r="F612" s="214">
        <f t="shared" si="9"/>
        <v>1280</v>
      </c>
    </row>
    <row r="613" spans="1:6" s="158" customFormat="1" ht="15" customHeight="1">
      <c r="A613" s="155" t="s">
        <v>264</v>
      </c>
      <c r="B613" s="333" t="s">
        <v>678</v>
      </c>
      <c r="C613" s="334"/>
      <c r="D613" s="253">
        <f>F613/E613</f>
        <v>1</v>
      </c>
      <c r="E613" s="214">
        <v>6732</v>
      </c>
      <c r="F613" s="214">
        <f>22000-10570-4698</f>
        <v>6732</v>
      </c>
    </row>
    <row r="614" spans="1:6" s="158" customFormat="1" ht="15" customHeight="1">
      <c r="A614" s="155" t="s">
        <v>265</v>
      </c>
      <c r="B614" s="333" t="s">
        <v>679</v>
      </c>
      <c r="C614" s="334"/>
      <c r="D614" s="214">
        <v>2</v>
      </c>
      <c r="E614" s="214">
        <v>4000</v>
      </c>
      <c r="F614" s="214">
        <f t="shared" si="9"/>
        <v>8000</v>
      </c>
    </row>
    <row r="615" spans="1:6" s="158" customFormat="1" ht="27" customHeight="1">
      <c r="A615" s="155" t="s">
        <v>267</v>
      </c>
      <c r="B615" s="333" t="s">
        <v>715</v>
      </c>
      <c r="C615" s="334"/>
      <c r="D615" s="214">
        <v>1</v>
      </c>
      <c r="E615" s="214">
        <v>12000</v>
      </c>
      <c r="F615" s="214">
        <f t="shared" si="9"/>
        <v>12000</v>
      </c>
    </row>
    <row r="616" spans="1:6" s="158" customFormat="1" ht="15" customHeight="1">
      <c r="A616" s="155" t="s">
        <v>268</v>
      </c>
      <c r="B616" s="333" t="s">
        <v>680</v>
      </c>
      <c r="C616" s="334"/>
      <c r="D616" s="214">
        <v>1</v>
      </c>
      <c r="E616" s="214">
        <f>39410+10570+8780</f>
        <v>58760</v>
      </c>
      <c r="F616" s="214">
        <f t="shared" si="9"/>
        <v>58760</v>
      </c>
    </row>
    <row r="617" spans="1:6" s="158" customFormat="1" ht="15" customHeight="1">
      <c r="A617" s="155" t="s">
        <v>269</v>
      </c>
      <c r="B617" s="333" t="s">
        <v>681</v>
      </c>
      <c r="C617" s="334"/>
      <c r="D617" s="214">
        <v>1</v>
      </c>
      <c r="E617" s="214">
        <v>7600</v>
      </c>
      <c r="F617" s="214">
        <f t="shared" si="9"/>
        <v>7600</v>
      </c>
    </row>
    <row r="618" spans="1:6" s="158" customFormat="1" ht="21.75" customHeight="1">
      <c r="A618" s="155"/>
      <c r="B618" s="341" t="s">
        <v>732</v>
      </c>
      <c r="C618" s="343"/>
      <c r="D618" s="214"/>
      <c r="E618" s="214"/>
      <c r="F618" s="214">
        <v>21654</v>
      </c>
    </row>
    <row r="619" spans="1:6" s="158" customFormat="1" ht="15" customHeight="1">
      <c r="A619" s="155" t="s">
        <v>260</v>
      </c>
      <c r="B619" s="333" t="s">
        <v>682</v>
      </c>
      <c r="C619" s="334"/>
      <c r="D619" s="214">
        <v>4</v>
      </c>
      <c r="E619" s="214">
        <v>7000</v>
      </c>
      <c r="F619" s="214">
        <f>D619*E619</f>
        <v>28000</v>
      </c>
    </row>
    <row r="620" spans="1:11" s="158" customFormat="1" ht="15" customHeight="1">
      <c r="A620" s="155"/>
      <c r="B620" s="335" t="s">
        <v>287</v>
      </c>
      <c r="C620" s="335"/>
      <c r="D620" s="168"/>
      <c r="E620" s="168" t="s">
        <v>28</v>
      </c>
      <c r="F620" s="183">
        <f>SUM(F531:F619)</f>
        <v>233847</v>
      </c>
      <c r="H620" s="143"/>
      <c r="I620" s="143"/>
      <c r="J620" s="143"/>
      <c r="K620" s="143"/>
    </row>
  </sheetData>
  <sheetProtection/>
  <mergeCells count="439">
    <mergeCell ref="O239:O240"/>
    <mergeCell ref="N256:N257"/>
    <mergeCell ref="O256:O257"/>
    <mergeCell ref="A112:F112"/>
    <mergeCell ref="B131:D131"/>
    <mergeCell ref="B149:C149"/>
    <mergeCell ref="A137:F137"/>
    <mergeCell ref="A139:F139"/>
    <mergeCell ref="B126:D126"/>
    <mergeCell ref="B128:D128"/>
    <mergeCell ref="B108:D108"/>
    <mergeCell ref="B100:D100"/>
    <mergeCell ref="B101:D101"/>
    <mergeCell ref="B102:D102"/>
    <mergeCell ref="B105:D105"/>
    <mergeCell ref="N239:N240"/>
    <mergeCell ref="B125:D125"/>
    <mergeCell ref="B110:D110"/>
    <mergeCell ref="B124:D124"/>
    <mergeCell ref="A118:F118"/>
    <mergeCell ref="B96:D96"/>
    <mergeCell ref="B97:D97"/>
    <mergeCell ref="B95:D95"/>
    <mergeCell ref="C79:F79"/>
    <mergeCell ref="A80:F80"/>
    <mergeCell ref="B120:D120"/>
    <mergeCell ref="B98:D98"/>
    <mergeCell ref="B106:D106"/>
    <mergeCell ref="B107:D107"/>
    <mergeCell ref="B99:D99"/>
    <mergeCell ref="A52:F52"/>
    <mergeCell ref="B74:C74"/>
    <mergeCell ref="B27:C27"/>
    <mergeCell ref="B28:C28"/>
    <mergeCell ref="B29:C29"/>
    <mergeCell ref="A31:F31"/>
    <mergeCell ref="B72:C72"/>
    <mergeCell ref="B73:C73"/>
    <mergeCell ref="B71:C71"/>
    <mergeCell ref="C4:F4"/>
    <mergeCell ref="A6:F6"/>
    <mergeCell ref="A15:F15"/>
    <mergeCell ref="A23:F23"/>
    <mergeCell ref="A39:F39"/>
    <mergeCell ref="A93:F93"/>
    <mergeCell ref="C91:F91"/>
    <mergeCell ref="B65:C65"/>
    <mergeCell ref="B66:C66"/>
    <mergeCell ref="B75:C75"/>
    <mergeCell ref="B25:C25"/>
    <mergeCell ref="B26:C26"/>
    <mergeCell ref="B103:D103"/>
    <mergeCell ref="B104:D104"/>
    <mergeCell ref="C50:F50"/>
    <mergeCell ref="A61:F61"/>
    <mergeCell ref="B63:C63"/>
    <mergeCell ref="B64:C64"/>
    <mergeCell ref="B67:C67"/>
    <mergeCell ref="A69:F69"/>
    <mergeCell ref="B109:D109"/>
    <mergeCell ref="C116:F116"/>
    <mergeCell ref="B123:D123"/>
    <mergeCell ref="B121:D121"/>
    <mergeCell ref="B122:D122"/>
    <mergeCell ref="B127:D127"/>
    <mergeCell ref="B129:D129"/>
    <mergeCell ref="B130:D130"/>
    <mergeCell ref="B159:C159"/>
    <mergeCell ref="B146:C146"/>
    <mergeCell ref="B147:C147"/>
    <mergeCell ref="A151:F151"/>
    <mergeCell ref="C155:F155"/>
    <mergeCell ref="B132:D132"/>
    <mergeCell ref="B133:D133"/>
    <mergeCell ref="B134:D134"/>
    <mergeCell ref="B135:D135"/>
    <mergeCell ref="B148:C148"/>
    <mergeCell ref="B169:C169"/>
    <mergeCell ref="B170:C170"/>
    <mergeCell ref="B145:C145"/>
    <mergeCell ref="B163:C163"/>
    <mergeCell ref="C167:F167"/>
    <mergeCell ref="B157:C157"/>
    <mergeCell ref="B160:C160"/>
    <mergeCell ref="B162:C162"/>
    <mergeCell ref="B161:C161"/>
    <mergeCell ref="B158:C158"/>
    <mergeCell ref="C192:F192"/>
    <mergeCell ref="B195:C195"/>
    <mergeCell ref="B194:C194"/>
    <mergeCell ref="B173:C173"/>
    <mergeCell ref="B174:C174"/>
    <mergeCell ref="B171:C171"/>
    <mergeCell ref="B207:C207"/>
    <mergeCell ref="B196:C196"/>
    <mergeCell ref="A176:F176"/>
    <mergeCell ref="C180:F180"/>
    <mergeCell ref="B182:C182"/>
    <mergeCell ref="B183:C183"/>
    <mergeCell ref="B184:C184"/>
    <mergeCell ref="B185:C185"/>
    <mergeCell ref="B186:C186"/>
    <mergeCell ref="A188:F188"/>
    <mergeCell ref="B197:C197"/>
    <mergeCell ref="B198:C198"/>
    <mergeCell ref="C202:F202"/>
    <mergeCell ref="B204:C204"/>
    <mergeCell ref="B205:C205"/>
    <mergeCell ref="B206:C206"/>
    <mergeCell ref="B228:C228"/>
    <mergeCell ref="A209:F209"/>
    <mergeCell ref="C213:F213"/>
    <mergeCell ref="A215:F215"/>
    <mergeCell ref="A225:F225"/>
    <mergeCell ref="A233:F233"/>
    <mergeCell ref="B229:C229"/>
    <mergeCell ref="B230:C230"/>
    <mergeCell ref="B231:C231"/>
    <mergeCell ref="B227:C227"/>
    <mergeCell ref="A244:F244"/>
    <mergeCell ref="B246:C246"/>
    <mergeCell ref="B248:C248"/>
    <mergeCell ref="B249:C249"/>
    <mergeCell ref="B250:C250"/>
    <mergeCell ref="B247:C247"/>
    <mergeCell ref="A252:F252"/>
    <mergeCell ref="B254:C254"/>
    <mergeCell ref="B269:C269"/>
    <mergeCell ref="B255:C255"/>
    <mergeCell ref="B256:C256"/>
    <mergeCell ref="B257:C257"/>
    <mergeCell ref="B260:D260"/>
    <mergeCell ref="B270:C270"/>
    <mergeCell ref="B263:C263"/>
    <mergeCell ref="B264:C264"/>
    <mergeCell ref="B268:C268"/>
    <mergeCell ref="B259:C259"/>
    <mergeCell ref="B258:C258"/>
    <mergeCell ref="B286:D286"/>
    <mergeCell ref="B281:D281"/>
    <mergeCell ref="B282:D282"/>
    <mergeCell ref="B261:C261"/>
    <mergeCell ref="B262:C262"/>
    <mergeCell ref="B275:C275"/>
    <mergeCell ref="B276:C276"/>
    <mergeCell ref="B265:C265"/>
    <mergeCell ref="B266:C266"/>
    <mergeCell ref="B267:C267"/>
    <mergeCell ref="B288:D288"/>
    <mergeCell ref="B289:D289"/>
    <mergeCell ref="B290:D290"/>
    <mergeCell ref="B283:D283"/>
    <mergeCell ref="B284:D284"/>
    <mergeCell ref="B271:C271"/>
    <mergeCell ref="B272:C272"/>
    <mergeCell ref="B273:C273"/>
    <mergeCell ref="B274:C274"/>
    <mergeCell ref="B285:D285"/>
    <mergeCell ref="B303:D303"/>
    <mergeCell ref="B293:D293"/>
    <mergeCell ref="B294:D294"/>
    <mergeCell ref="B295:D295"/>
    <mergeCell ref="B296:D296"/>
    <mergeCell ref="B277:C277"/>
    <mergeCell ref="A279:F279"/>
    <mergeCell ref="B291:D291"/>
    <mergeCell ref="B292:D292"/>
    <mergeCell ref="B287:D287"/>
    <mergeCell ref="B325:C325"/>
    <mergeCell ref="B326:C326"/>
    <mergeCell ref="B297:D297"/>
    <mergeCell ref="B298:D298"/>
    <mergeCell ref="B299:D299"/>
    <mergeCell ref="B300:D300"/>
    <mergeCell ref="B301:D301"/>
    <mergeCell ref="B302:D302"/>
    <mergeCell ref="B313:C313"/>
    <mergeCell ref="B322:C322"/>
    <mergeCell ref="B315:C315"/>
    <mergeCell ref="B316:C316"/>
    <mergeCell ref="B320:C320"/>
    <mergeCell ref="B321:C321"/>
    <mergeCell ref="B323:C323"/>
    <mergeCell ref="B324:C324"/>
    <mergeCell ref="A305:F305"/>
    <mergeCell ref="B307:C307"/>
    <mergeCell ref="B308:C308"/>
    <mergeCell ref="B312:C312"/>
    <mergeCell ref="B311:C311"/>
    <mergeCell ref="B309:C309"/>
    <mergeCell ref="B310:C310"/>
    <mergeCell ref="B379:C379"/>
    <mergeCell ref="B380:C380"/>
    <mergeCell ref="B314:C314"/>
    <mergeCell ref="B370:C370"/>
    <mergeCell ref="C374:F374"/>
    <mergeCell ref="B317:C317"/>
    <mergeCell ref="B318:C318"/>
    <mergeCell ref="B319:C319"/>
    <mergeCell ref="A376:F376"/>
    <mergeCell ref="B378:C378"/>
    <mergeCell ref="B399:C399"/>
    <mergeCell ref="B400:C400"/>
    <mergeCell ref="B390:D390"/>
    <mergeCell ref="B396:C396"/>
    <mergeCell ref="B397:C397"/>
    <mergeCell ref="B398:C398"/>
    <mergeCell ref="B524:D524"/>
    <mergeCell ref="B525:D525"/>
    <mergeCell ref="A527:F527"/>
    <mergeCell ref="B438:C438"/>
    <mergeCell ref="B439:C439"/>
    <mergeCell ref="B521:D521"/>
    <mergeCell ref="B522:D522"/>
    <mergeCell ref="B444:C444"/>
    <mergeCell ref="B520:D520"/>
    <mergeCell ref="B511:C511"/>
    <mergeCell ref="B620:C620"/>
    <mergeCell ref="B529:C529"/>
    <mergeCell ref="B530:C530"/>
    <mergeCell ref="B531:C531"/>
    <mergeCell ref="B533:C533"/>
    <mergeCell ref="B534:C534"/>
    <mergeCell ref="B535:C535"/>
    <mergeCell ref="B536:C536"/>
    <mergeCell ref="B537:C537"/>
    <mergeCell ref="B538:C538"/>
    <mergeCell ref="B512:C512"/>
    <mergeCell ref="B513:C513"/>
    <mergeCell ref="B514:C514"/>
    <mergeCell ref="B515:C515"/>
    <mergeCell ref="A517:F517"/>
    <mergeCell ref="B523:D523"/>
    <mergeCell ref="B500:C500"/>
    <mergeCell ref="A487:F487"/>
    <mergeCell ref="B401:C401"/>
    <mergeCell ref="B402:C402"/>
    <mergeCell ref="B519:D519"/>
    <mergeCell ref="B403:C403"/>
    <mergeCell ref="B460:C460"/>
    <mergeCell ref="B461:C461"/>
    <mergeCell ref="B503:C503"/>
    <mergeCell ref="B504:C504"/>
    <mergeCell ref="B532:C532"/>
    <mergeCell ref="B332:C332"/>
    <mergeCell ref="B333:C333"/>
    <mergeCell ref="B334:C334"/>
    <mergeCell ref="B336:C336"/>
    <mergeCell ref="B337:C337"/>
    <mergeCell ref="B338:C338"/>
    <mergeCell ref="B339:C339"/>
    <mergeCell ref="B340:C340"/>
    <mergeCell ref="B347:C347"/>
    <mergeCell ref="B348:C348"/>
    <mergeCell ref="B349:C349"/>
    <mergeCell ref="B327:C327"/>
    <mergeCell ref="B328:C328"/>
    <mergeCell ref="B329:C329"/>
    <mergeCell ref="B330:C330"/>
    <mergeCell ref="B331:C331"/>
    <mergeCell ref="B351:C351"/>
    <mergeCell ref="B352:C352"/>
    <mergeCell ref="B353:C353"/>
    <mergeCell ref="B354:C354"/>
    <mergeCell ref="B341:C341"/>
    <mergeCell ref="B342:C342"/>
    <mergeCell ref="B343:C343"/>
    <mergeCell ref="B350:C350"/>
    <mergeCell ref="B344:C344"/>
    <mergeCell ref="B345:C345"/>
    <mergeCell ref="B363:C363"/>
    <mergeCell ref="B364:C364"/>
    <mergeCell ref="B365:C365"/>
    <mergeCell ref="B366:C366"/>
    <mergeCell ref="B356:C356"/>
    <mergeCell ref="B357:C357"/>
    <mergeCell ref="B358:C358"/>
    <mergeCell ref="B359:C359"/>
    <mergeCell ref="B360:C360"/>
    <mergeCell ref="B361:C361"/>
    <mergeCell ref="A506:F506"/>
    <mergeCell ref="B508:C508"/>
    <mergeCell ref="B404:C404"/>
    <mergeCell ref="B405:C405"/>
    <mergeCell ref="B406:C406"/>
    <mergeCell ref="B407:C407"/>
    <mergeCell ref="B462:C462"/>
    <mergeCell ref="A498:F498"/>
    <mergeCell ref="B413:C413"/>
    <mergeCell ref="B414:C414"/>
    <mergeCell ref="B382:C382"/>
    <mergeCell ref="B391:D391"/>
    <mergeCell ref="A393:F393"/>
    <mergeCell ref="B395:C395"/>
    <mergeCell ref="B387:D387"/>
    <mergeCell ref="B381:C381"/>
    <mergeCell ref="B388:D388"/>
    <mergeCell ref="B389:D389"/>
    <mergeCell ref="A384:F384"/>
    <mergeCell ref="B386:D386"/>
    <mergeCell ref="B368:C368"/>
    <mergeCell ref="B369:C369"/>
    <mergeCell ref="B362:C362"/>
    <mergeCell ref="B539:C539"/>
    <mergeCell ref="B540:C540"/>
    <mergeCell ref="B541:C541"/>
    <mergeCell ref="B429:C429"/>
    <mergeCell ref="B430:C430"/>
    <mergeCell ref="B431:C431"/>
    <mergeCell ref="B485:C485"/>
    <mergeCell ref="B542:C542"/>
    <mergeCell ref="B367:C367"/>
    <mergeCell ref="B447:C447"/>
    <mergeCell ref="B509:C509"/>
    <mergeCell ref="B510:C510"/>
    <mergeCell ref="B501:C501"/>
    <mergeCell ref="B502:C502"/>
    <mergeCell ref="B437:C437"/>
    <mergeCell ref="B426:C426"/>
    <mergeCell ref="B427:C427"/>
    <mergeCell ref="B547:C547"/>
    <mergeCell ref="B548:C548"/>
    <mergeCell ref="B549:C549"/>
    <mergeCell ref="B550:C550"/>
    <mergeCell ref="B543:C543"/>
    <mergeCell ref="B544:C544"/>
    <mergeCell ref="B545:C545"/>
    <mergeCell ref="B546:C546"/>
    <mergeCell ref="B555:C555"/>
    <mergeCell ref="B556:C556"/>
    <mergeCell ref="B557:C557"/>
    <mergeCell ref="B558:C558"/>
    <mergeCell ref="B551:C551"/>
    <mergeCell ref="B552:C552"/>
    <mergeCell ref="B553:C553"/>
    <mergeCell ref="B554:C554"/>
    <mergeCell ref="B563:C563"/>
    <mergeCell ref="B564:C564"/>
    <mergeCell ref="B565:C565"/>
    <mergeCell ref="B566:C566"/>
    <mergeCell ref="B559:C559"/>
    <mergeCell ref="B560:C560"/>
    <mergeCell ref="B561:C561"/>
    <mergeCell ref="B562:C562"/>
    <mergeCell ref="B571:C571"/>
    <mergeCell ref="B572:C572"/>
    <mergeCell ref="B573:C573"/>
    <mergeCell ref="B574:C574"/>
    <mergeCell ref="B567:C567"/>
    <mergeCell ref="B568:C568"/>
    <mergeCell ref="B569:C569"/>
    <mergeCell ref="B570:C570"/>
    <mergeCell ref="B579:C579"/>
    <mergeCell ref="B580:C580"/>
    <mergeCell ref="B581:C581"/>
    <mergeCell ref="B582:C582"/>
    <mergeCell ref="B575:C575"/>
    <mergeCell ref="B576:C576"/>
    <mergeCell ref="B577:C577"/>
    <mergeCell ref="B578:C578"/>
    <mergeCell ref="B587:C587"/>
    <mergeCell ref="B588:C588"/>
    <mergeCell ref="B589:C589"/>
    <mergeCell ref="B590:C590"/>
    <mergeCell ref="B583:C583"/>
    <mergeCell ref="B584:C584"/>
    <mergeCell ref="B585:C585"/>
    <mergeCell ref="B586:C586"/>
    <mergeCell ref="B591:C591"/>
    <mergeCell ref="B603:C603"/>
    <mergeCell ref="B592:C592"/>
    <mergeCell ref="B593:C593"/>
    <mergeCell ref="B594:C594"/>
    <mergeCell ref="B595:C595"/>
    <mergeCell ref="B596:C596"/>
    <mergeCell ref="B597:C597"/>
    <mergeCell ref="B602:C602"/>
    <mergeCell ref="B605:C605"/>
    <mergeCell ref="B606:C606"/>
    <mergeCell ref="B604:C604"/>
    <mergeCell ref="B607:C607"/>
    <mergeCell ref="B608:C608"/>
    <mergeCell ref="B617:C617"/>
    <mergeCell ref="B619:C619"/>
    <mergeCell ref="B611:C611"/>
    <mergeCell ref="B612:C612"/>
    <mergeCell ref="B613:C613"/>
    <mergeCell ref="B614:C614"/>
    <mergeCell ref="B615:C615"/>
    <mergeCell ref="B616:C616"/>
    <mergeCell ref="B618:C618"/>
    <mergeCell ref="B408:C408"/>
    <mergeCell ref="B448:C448"/>
    <mergeCell ref="B449:C449"/>
    <mergeCell ref="B418:C418"/>
    <mergeCell ref="B419:C419"/>
    <mergeCell ref="B410:C410"/>
    <mergeCell ref="B411:C411"/>
    <mergeCell ref="B412:C412"/>
    <mergeCell ref="B445:C445"/>
    <mergeCell ref="B446:C446"/>
    <mergeCell ref="B451:C451"/>
    <mergeCell ref="B452:C452"/>
    <mergeCell ref="B453:C453"/>
    <mergeCell ref="B458:C458"/>
    <mergeCell ref="B482:C482"/>
    <mergeCell ref="B609:C609"/>
    <mergeCell ref="B598:C598"/>
    <mergeCell ref="B599:C599"/>
    <mergeCell ref="B600:C600"/>
    <mergeCell ref="B601:C601"/>
    <mergeCell ref="B415:C415"/>
    <mergeCell ref="B421:C421"/>
    <mergeCell ref="B422:C422"/>
    <mergeCell ref="B423:C423"/>
    <mergeCell ref="B425:C425"/>
    <mergeCell ref="B416:C416"/>
    <mergeCell ref="B417:C417"/>
    <mergeCell ref="B420:C420"/>
    <mergeCell ref="B457:C457"/>
    <mergeCell ref="B454:C454"/>
    <mergeCell ref="B442:C442"/>
    <mergeCell ref="B455:C455"/>
    <mergeCell ref="B435:C435"/>
    <mergeCell ref="B484:C484"/>
    <mergeCell ref="B481:C481"/>
    <mergeCell ref="B483:C483"/>
    <mergeCell ref="B443:C443"/>
    <mergeCell ref="B450:C450"/>
    <mergeCell ref="B436:C436"/>
    <mergeCell ref="C468:F468"/>
    <mergeCell ref="A470:F470"/>
    <mergeCell ref="A479:F479"/>
    <mergeCell ref="B459:C459"/>
    <mergeCell ref="B432:C432"/>
    <mergeCell ref="B434:C434"/>
    <mergeCell ref="B440:C440"/>
    <mergeCell ref="B441:C441"/>
    <mergeCell ref="B456:C456"/>
  </mergeCells>
  <printOptions/>
  <pageMargins left="0.7086614173228347" right="0.11811023622047245" top="0.15748031496062992" bottom="0.15748031496062992" header="0.31496062992125984" footer="0.11811023622047245"/>
  <pageSetup horizontalDpi="600" verticalDpi="600" orientation="portrait" paperSize="9" scale="65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54.875" style="9" customWidth="1"/>
    <col min="2" max="2" width="34.25390625" style="0" customWidth="1"/>
  </cols>
  <sheetData>
    <row r="1" spans="1:2" ht="12.75">
      <c r="A1" s="284" t="s">
        <v>17</v>
      </c>
      <c r="B1" s="284"/>
    </row>
    <row r="2" spans="1:2" ht="12.75">
      <c r="A2" s="284"/>
      <c r="B2" s="284"/>
    </row>
    <row r="3" spans="1:2" ht="15.75">
      <c r="A3" s="290" t="s">
        <v>18</v>
      </c>
      <c r="B3" s="290"/>
    </row>
    <row r="4" spans="1:2" ht="37.5" customHeight="1">
      <c r="A4" s="291" t="s">
        <v>232</v>
      </c>
      <c r="B4" s="291"/>
    </row>
    <row r="5" spans="1:2" ht="15.75">
      <c r="A5" s="290" t="s">
        <v>19</v>
      </c>
      <c r="B5" s="290"/>
    </row>
    <row r="6" spans="1:2" ht="40.5" customHeight="1">
      <c r="A6" s="291" t="s">
        <v>233</v>
      </c>
      <c r="B6" s="291"/>
    </row>
    <row r="7" spans="1:2" ht="73.5" customHeight="1">
      <c r="A7" s="290" t="s">
        <v>44</v>
      </c>
      <c r="B7" s="290"/>
    </row>
    <row r="8" spans="1:2" ht="24" customHeight="1">
      <c r="A8" s="292" t="s">
        <v>230</v>
      </c>
      <c r="B8" s="292"/>
    </row>
    <row r="9" spans="1:2" ht="15.75" hidden="1">
      <c r="A9" s="292"/>
      <c r="B9" s="292"/>
    </row>
    <row r="10" spans="1:256" ht="15.75" hidden="1">
      <c r="A10" s="290"/>
      <c r="B10" s="290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pans="1:2" ht="57.75" customHeight="1">
      <c r="A11" s="290" t="s">
        <v>45</v>
      </c>
      <c r="B11" s="290"/>
    </row>
    <row r="12" spans="1:2" ht="24" customHeight="1">
      <c r="A12" s="288" t="s">
        <v>41</v>
      </c>
      <c r="B12" s="288"/>
    </row>
    <row r="13" spans="1:2" ht="15.75">
      <c r="A13" s="288"/>
      <c r="B13" s="289"/>
    </row>
  </sheetData>
  <sheetProtection/>
  <mergeCells count="139">
    <mergeCell ref="IE10:IF10"/>
    <mergeCell ref="IG10:IH10"/>
    <mergeCell ref="IU10:IV10"/>
    <mergeCell ref="II10:IJ10"/>
    <mergeCell ref="IK10:IL10"/>
    <mergeCell ref="IM10:IN10"/>
    <mergeCell ref="IO10:IP10"/>
    <mergeCell ref="IQ10:IR10"/>
    <mergeCell ref="IS10:IT10"/>
    <mergeCell ref="HI10:HJ10"/>
    <mergeCell ref="HC10:HD10"/>
    <mergeCell ref="HE10:HF10"/>
    <mergeCell ref="IC10:ID10"/>
    <mergeCell ref="HW10:HX10"/>
    <mergeCell ref="HY10:HZ10"/>
    <mergeCell ref="IA10:IB10"/>
    <mergeCell ref="HM10:HN10"/>
    <mergeCell ref="HS10:HT10"/>
    <mergeCell ref="HU10:HV10"/>
    <mergeCell ref="GE10:GF10"/>
    <mergeCell ref="GG10:GH10"/>
    <mergeCell ref="GM10:GN10"/>
    <mergeCell ref="GO10:GP10"/>
    <mergeCell ref="GQ10:GR10"/>
    <mergeCell ref="GU10:GV10"/>
    <mergeCell ref="GI10:GJ10"/>
    <mergeCell ref="GK10:GL10"/>
    <mergeCell ref="HO10:HP10"/>
    <mergeCell ref="HQ10:HR10"/>
    <mergeCell ref="FC10:FD10"/>
    <mergeCell ref="HK10:HL10"/>
    <mergeCell ref="FS10:FT10"/>
    <mergeCell ref="FU10:FV10"/>
    <mergeCell ref="FW10:FX10"/>
    <mergeCell ref="FY10:FZ10"/>
    <mergeCell ref="GY10:GZ10"/>
    <mergeCell ref="HA10:HB10"/>
    <mergeCell ref="GW10:GX10"/>
    <mergeCell ref="HG10:HH10"/>
    <mergeCell ref="FE10:FF10"/>
    <mergeCell ref="EM10:EN10"/>
    <mergeCell ref="EO10:EP10"/>
    <mergeCell ref="EQ10:ER10"/>
    <mergeCell ref="ES10:ET10"/>
    <mergeCell ref="GS10:GT10"/>
    <mergeCell ref="EY10:EZ10"/>
    <mergeCell ref="FA10:FB10"/>
    <mergeCell ref="GA10:GB10"/>
    <mergeCell ref="GC10:GD10"/>
    <mergeCell ref="FG10:FH10"/>
    <mergeCell ref="FI10:FJ10"/>
    <mergeCell ref="FK10:FL10"/>
    <mergeCell ref="FM10:FN10"/>
    <mergeCell ref="FO10:FP10"/>
    <mergeCell ref="FQ10:FR10"/>
    <mergeCell ref="DC10:DD10"/>
    <mergeCell ref="DE10:DF10"/>
    <mergeCell ref="DS10:DT10"/>
    <mergeCell ref="DU10:DV10"/>
    <mergeCell ref="DG10:DH10"/>
    <mergeCell ref="DI10:DJ10"/>
    <mergeCell ref="CY10:CZ10"/>
    <mergeCell ref="DA10:DB10"/>
    <mergeCell ref="EU10:EV10"/>
    <mergeCell ref="EW10:EX10"/>
    <mergeCell ref="DW10:DX10"/>
    <mergeCell ref="DY10:DZ10"/>
    <mergeCell ref="EA10:EB10"/>
    <mergeCell ref="EC10:ED10"/>
    <mergeCell ref="EI10:EJ10"/>
    <mergeCell ref="EK10:EL10"/>
    <mergeCell ref="CA10:CB10"/>
    <mergeCell ref="CC10:CD10"/>
    <mergeCell ref="CI10:CJ10"/>
    <mergeCell ref="CK10:CL10"/>
    <mergeCell ref="EE10:EF10"/>
    <mergeCell ref="EG10:EH10"/>
    <mergeCell ref="DK10:DL10"/>
    <mergeCell ref="DM10:DN10"/>
    <mergeCell ref="DO10:DP10"/>
    <mergeCell ref="DQ10:DR10"/>
    <mergeCell ref="CU10:CV10"/>
    <mergeCell ref="CW10:CX10"/>
    <mergeCell ref="CM10:CN10"/>
    <mergeCell ref="CO10:CP10"/>
    <mergeCell ref="CQ10:CR10"/>
    <mergeCell ref="CS10:CT10"/>
    <mergeCell ref="BW10:BX10"/>
    <mergeCell ref="BY10:BZ10"/>
    <mergeCell ref="AY10:AZ10"/>
    <mergeCell ref="BA10:BB10"/>
    <mergeCell ref="BC10:BD10"/>
    <mergeCell ref="BE10:BF10"/>
    <mergeCell ref="BK10:BL10"/>
    <mergeCell ref="BM10:BN10"/>
    <mergeCell ref="AU10:AV10"/>
    <mergeCell ref="AW10:AX10"/>
    <mergeCell ref="CE10:CF10"/>
    <mergeCell ref="CG10:CH10"/>
    <mergeCell ref="BO10:BP10"/>
    <mergeCell ref="BQ10:BR10"/>
    <mergeCell ref="BS10:BT10"/>
    <mergeCell ref="BU10:BV10"/>
    <mergeCell ref="BG10:BH10"/>
    <mergeCell ref="BI10:BJ10"/>
    <mergeCell ref="AE10:AF10"/>
    <mergeCell ref="AG10:AH10"/>
    <mergeCell ref="AI10:AJ10"/>
    <mergeCell ref="AK10:AL10"/>
    <mergeCell ref="AQ10:AR10"/>
    <mergeCell ref="AS10:AT10"/>
    <mergeCell ref="K10:L10"/>
    <mergeCell ref="M10:N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O10:P10"/>
    <mergeCell ref="Q10:R10"/>
    <mergeCell ref="A1:B2"/>
    <mergeCell ref="A3:B3"/>
    <mergeCell ref="A4:B4"/>
    <mergeCell ref="A8:B8"/>
    <mergeCell ref="C10:D10"/>
    <mergeCell ref="E10:F10"/>
    <mergeCell ref="G10:H10"/>
    <mergeCell ref="I10:J10"/>
    <mergeCell ref="A12:B12"/>
    <mergeCell ref="A13:B13"/>
    <mergeCell ref="A5:B5"/>
    <mergeCell ref="A6:B6"/>
    <mergeCell ref="A7:B7"/>
    <mergeCell ref="A11:B11"/>
    <mergeCell ref="A10:B10"/>
    <mergeCell ref="A9:B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6.625" style="0" customWidth="1"/>
    <col min="2" max="2" width="69.875" style="9" customWidth="1"/>
    <col min="3" max="3" width="14.25390625" style="226" bestFit="1" customWidth="1"/>
  </cols>
  <sheetData>
    <row r="1" ht="15.75">
      <c r="B1" s="66" t="s">
        <v>108</v>
      </c>
    </row>
    <row r="2" ht="15.75">
      <c r="B2" s="63" t="s">
        <v>109</v>
      </c>
    </row>
    <row r="3" spans="2:3" ht="15.75" customHeight="1">
      <c r="B3" s="65" t="s">
        <v>363</v>
      </c>
      <c r="C3" s="227"/>
    </row>
    <row r="4" spans="2:3" ht="22.5" customHeight="1">
      <c r="B4" s="47" t="s">
        <v>110</v>
      </c>
      <c r="C4" s="228"/>
    </row>
    <row r="5" spans="1:3" ht="15.75">
      <c r="A5" s="58"/>
      <c r="B5" s="19" t="s">
        <v>20</v>
      </c>
      <c r="C5" s="229" t="s">
        <v>106</v>
      </c>
    </row>
    <row r="6" spans="1:3" s="59" customFormat="1" ht="15.75">
      <c r="A6" s="60">
        <v>1</v>
      </c>
      <c r="B6" s="19">
        <v>2</v>
      </c>
      <c r="C6" s="230">
        <v>3</v>
      </c>
    </row>
    <row r="7" spans="1:3" ht="15.75">
      <c r="A7" s="61">
        <v>1</v>
      </c>
      <c r="B7" s="20" t="s">
        <v>107</v>
      </c>
      <c r="C7" s="231">
        <f>C9+C15+518292.65+8829341</f>
        <v>27933662.31</v>
      </c>
    </row>
    <row r="8" spans="1:3" ht="15.75">
      <c r="A8" s="58"/>
      <c r="B8" s="18" t="s">
        <v>21</v>
      </c>
      <c r="C8" s="229"/>
    </row>
    <row r="9" spans="1:3" ht="31.5">
      <c r="A9" s="51" t="s">
        <v>46</v>
      </c>
      <c r="B9" s="18" t="s">
        <v>50</v>
      </c>
      <c r="C9" s="229">
        <v>16123172.74</v>
      </c>
    </row>
    <row r="10" spans="1:3" ht="15.75">
      <c r="A10" s="51"/>
      <c r="B10" s="18" t="s">
        <v>54</v>
      </c>
      <c r="C10" s="229"/>
    </row>
    <row r="11" spans="1:3" ht="47.25">
      <c r="A11" s="51" t="s">
        <v>63</v>
      </c>
      <c r="B11" s="18" t="s">
        <v>49</v>
      </c>
      <c r="C11" s="229">
        <v>16123172.74</v>
      </c>
    </row>
    <row r="12" spans="1:3" ht="47.25">
      <c r="A12" s="51" t="s">
        <v>64</v>
      </c>
      <c r="B12" s="18" t="s">
        <v>48</v>
      </c>
      <c r="C12" s="229"/>
    </row>
    <row r="13" spans="1:3" ht="47.25">
      <c r="A13" s="51" t="s">
        <v>65</v>
      </c>
      <c r="B13" s="18" t="s">
        <v>47</v>
      </c>
      <c r="C13" s="229"/>
    </row>
    <row r="14" spans="1:3" ht="15.75">
      <c r="A14" s="51" t="s">
        <v>66</v>
      </c>
      <c r="B14" s="18" t="s">
        <v>51</v>
      </c>
      <c r="C14" s="229">
        <v>5677763.67</v>
      </c>
    </row>
    <row r="15" spans="1:3" ht="31.5">
      <c r="A15" s="51" t="s">
        <v>52</v>
      </c>
      <c r="B15" s="18" t="s">
        <v>53</v>
      </c>
      <c r="C15" s="229">
        <f>C17+C18+C19</f>
        <v>2462855.92</v>
      </c>
    </row>
    <row r="16" spans="1:3" ht="15.75">
      <c r="A16" s="51"/>
      <c r="B16" s="18" t="s">
        <v>79</v>
      </c>
      <c r="C16" s="229"/>
    </row>
    <row r="17" spans="1:3" ht="15.75">
      <c r="A17" s="51" t="s">
        <v>67</v>
      </c>
      <c r="B17" s="34" t="s">
        <v>55</v>
      </c>
      <c r="C17" s="229">
        <v>1621812.72</v>
      </c>
    </row>
    <row r="18" spans="1:3" ht="47.25">
      <c r="A18" s="51" t="s">
        <v>68</v>
      </c>
      <c r="B18" s="34" t="s">
        <v>56</v>
      </c>
      <c r="C18" s="229">
        <v>198637.2</v>
      </c>
    </row>
    <row r="19" spans="1:3" ht="47.25">
      <c r="A19" s="51" t="s">
        <v>69</v>
      </c>
      <c r="B19" s="34" t="s">
        <v>57</v>
      </c>
      <c r="C19" s="229">
        <v>642406</v>
      </c>
    </row>
    <row r="20" spans="1:3" ht="15.75">
      <c r="A20" s="51" t="s">
        <v>70</v>
      </c>
      <c r="B20" s="18" t="s">
        <v>58</v>
      </c>
      <c r="C20" s="229">
        <v>7651.96</v>
      </c>
    </row>
    <row r="21" spans="1:3" ht="15.75">
      <c r="A21" s="20" t="s">
        <v>59</v>
      </c>
      <c r="B21" s="20" t="s">
        <v>60</v>
      </c>
      <c r="C21" s="231">
        <f>C23+C27+C28+C32</f>
        <v>128054.47</v>
      </c>
    </row>
    <row r="22" spans="1:3" ht="15.75">
      <c r="A22" s="51"/>
      <c r="B22" s="53" t="s">
        <v>21</v>
      </c>
      <c r="C22" s="229"/>
    </row>
    <row r="23" spans="1:3" ht="15.75">
      <c r="A23" s="52" t="s">
        <v>61</v>
      </c>
      <c r="B23" s="49" t="s">
        <v>72</v>
      </c>
      <c r="C23" s="62"/>
    </row>
    <row r="24" spans="1:3" ht="15.75">
      <c r="A24" s="52"/>
      <c r="B24" s="49" t="s">
        <v>26</v>
      </c>
      <c r="C24" s="62"/>
    </row>
    <row r="25" spans="1:3" ht="15.75">
      <c r="A25" s="52" t="s">
        <v>71</v>
      </c>
      <c r="B25" s="49" t="s">
        <v>73</v>
      </c>
      <c r="C25" s="62"/>
    </row>
    <row r="26" spans="1:3" ht="31.5">
      <c r="A26" s="52" t="s">
        <v>76</v>
      </c>
      <c r="B26" s="49" t="s">
        <v>74</v>
      </c>
      <c r="C26" s="62"/>
    </row>
    <row r="27" spans="1:3" ht="15.75">
      <c r="A27" s="52" t="s">
        <v>62</v>
      </c>
      <c r="B27" s="49" t="s">
        <v>75</v>
      </c>
      <c r="C27" s="62"/>
    </row>
    <row r="28" spans="1:3" ht="15.75">
      <c r="A28" s="52" t="s">
        <v>77</v>
      </c>
      <c r="B28" s="55" t="s">
        <v>78</v>
      </c>
      <c r="C28" s="229">
        <f>C30+C31</f>
        <v>9600.06</v>
      </c>
    </row>
    <row r="29" spans="1:3" ht="15.75">
      <c r="A29" s="51"/>
      <c r="B29" s="18" t="s">
        <v>79</v>
      </c>
      <c r="C29" s="229"/>
    </row>
    <row r="30" spans="1:3" ht="31.5">
      <c r="A30" s="52" t="s">
        <v>81</v>
      </c>
      <c r="B30" s="18" t="s">
        <v>80</v>
      </c>
      <c r="C30" s="229"/>
    </row>
    <row r="31" spans="1:3" ht="31.5">
      <c r="A31" s="52" t="s">
        <v>82</v>
      </c>
      <c r="B31" s="53" t="s">
        <v>83</v>
      </c>
      <c r="C31" s="229">
        <v>9600.06</v>
      </c>
    </row>
    <row r="32" spans="1:3" ht="15.75">
      <c r="A32" s="52" t="s">
        <v>84</v>
      </c>
      <c r="B32" s="49" t="s">
        <v>85</v>
      </c>
      <c r="C32" s="62">
        <f>C34+C35</f>
        <v>118454.41</v>
      </c>
    </row>
    <row r="33" spans="1:3" ht="15.75">
      <c r="A33" s="52"/>
      <c r="B33" s="49" t="s">
        <v>26</v>
      </c>
      <c r="C33" s="229"/>
    </row>
    <row r="34" spans="1:3" ht="31.5">
      <c r="A34" s="52" t="s">
        <v>86</v>
      </c>
      <c r="B34" s="54" t="s">
        <v>89</v>
      </c>
      <c r="C34" s="229">
        <f>110010.13+8444.28</f>
        <v>118454.41</v>
      </c>
    </row>
    <row r="35" spans="1:3" ht="47.25">
      <c r="A35" s="52" t="s">
        <v>87</v>
      </c>
      <c r="B35" s="18" t="s">
        <v>88</v>
      </c>
      <c r="C35" s="229"/>
    </row>
    <row r="36" spans="1:3" ht="15.75">
      <c r="A36" s="20" t="s">
        <v>220</v>
      </c>
      <c r="B36" s="20" t="s">
        <v>221</v>
      </c>
      <c r="C36" s="231">
        <f>C39</f>
        <v>0</v>
      </c>
    </row>
    <row r="37" spans="1:3" ht="15.75">
      <c r="A37" s="18"/>
      <c r="B37" s="53" t="s">
        <v>23</v>
      </c>
      <c r="C37" s="229"/>
    </row>
    <row r="38" spans="1:3" ht="15.75">
      <c r="A38" s="52" t="s">
        <v>91</v>
      </c>
      <c r="B38" s="49" t="s">
        <v>90</v>
      </c>
      <c r="C38" s="62"/>
    </row>
    <row r="39" spans="1:3" ht="15.75">
      <c r="A39" s="52" t="s">
        <v>93</v>
      </c>
      <c r="B39" s="57" t="s">
        <v>92</v>
      </c>
      <c r="C39" s="229">
        <f>C41+C49</f>
        <v>0</v>
      </c>
    </row>
    <row r="40" spans="1:3" ht="15.75">
      <c r="A40" s="18"/>
      <c r="B40" s="18" t="s">
        <v>22</v>
      </c>
      <c r="C40" s="229"/>
    </row>
    <row r="41" spans="1:3" ht="31.5">
      <c r="A41" s="33" t="s">
        <v>95</v>
      </c>
      <c r="B41" s="33" t="s">
        <v>94</v>
      </c>
      <c r="C41" s="229">
        <f>SUM(C43:C48)</f>
        <v>0</v>
      </c>
    </row>
    <row r="42" spans="1:3" ht="15.75">
      <c r="A42" s="18"/>
      <c r="B42" s="18" t="s">
        <v>22</v>
      </c>
      <c r="C42" s="229"/>
    </row>
    <row r="43" spans="1:3" ht="15.75">
      <c r="A43" s="18"/>
      <c r="B43" s="18" t="s">
        <v>96</v>
      </c>
      <c r="C43" s="229"/>
    </row>
    <row r="44" spans="1:3" ht="15.75">
      <c r="A44" s="18"/>
      <c r="B44" s="55" t="s">
        <v>97</v>
      </c>
      <c r="C44" s="229"/>
    </row>
    <row r="45" spans="1:3" ht="15.75">
      <c r="A45" s="56"/>
      <c r="B45" s="49" t="s">
        <v>98</v>
      </c>
      <c r="C45" s="62"/>
    </row>
    <row r="46" spans="1:3" ht="15.75">
      <c r="A46" s="56"/>
      <c r="B46" s="49" t="s">
        <v>99</v>
      </c>
      <c r="C46" s="62"/>
    </row>
    <row r="47" spans="1:3" ht="15.75">
      <c r="A47" s="56"/>
      <c r="B47" s="49" t="s">
        <v>100</v>
      </c>
      <c r="C47" s="62"/>
    </row>
    <row r="48" spans="1:3" ht="15.75">
      <c r="A48" s="56"/>
      <c r="B48" s="49" t="s">
        <v>101</v>
      </c>
      <c r="C48" s="62"/>
    </row>
    <row r="49" spans="1:3" ht="51" customHeight="1">
      <c r="A49" s="18" t="s">
        <v>102</v>
      </c>
      <c r="B49" s="18" t="s">
        <v>103</v>
      </c>
      <c r="C49" s="229">
        <f>SUM(C51:C56)</f>
        <v>0</v>
      </c>
    </row>
    <row r="50" spans="1:3" ht="15.75">
      <c r="A50" s="18"/>
      <c r="B50" s="18" t="s">
        <v>22</v>
      </c>
      <c r="C50" s="229"/>
    </row>
    <row r="51" spans="1:3" ht="15.75">
      <c r="A51" s="18"/>
      <c r="B51" s="18" t="s">
        <v>96</v>
      </c>
      <c r="C51" s="229"/>
    </row>
    <row r="52" spans="1:3" ht="15.75">
      <c r="A52" s="18"/>
      <c r="B52" s="55" t="s">
        <v>97</v>
      </c>
      <c r="C52" s="229"/>
    </row>
    <row r="53" spans="1:3" ht="15.75">
      <c r="A53" s="18"/>
      <c r="B53" s="49" t="s">
        <v>98</v>
      </c>
      <c r="C53" s="229"/>
    </row>
    <row r="54" spans="1:3" ht="15.75">
      <c r="A54" s="18"/>
      <c r="B54" s="49" t="s">
        <v>99</v>
      </c>
      <c r="C54" s="229"/>
    </row>
    <row r="55" spans="1:3" ht="15.75">
      <c r="A55" s="18"/>
      <c r="B55" s="49" t="s">
        <v>100</v>
      </c>
      <c r="C55" s="229"/>
    </row>
    <row r="56" spans="1:3" ht="15.75">
      <c r="A56" s="18"/>
      <c r="B56" s="49" t="s">
        <v>101</v>
      </c>
      <c r="C56" s="229"/>
    </row>
    <row r="57" spans="1:3" ht="15.75">
      <c r="A57" s="18" t="s">
        <v>105</v>
      </c>
      <c r="B57" s="55" t="s">
        <v>104</v>
      </c>
      <c r="C57" s="229">
        <f>SUM(C59:C64)</f>
        <v>0</v>
      </c>
    </row>
    <row r="58" spans="1:3" ht="15.75">
      <c r="A58" s="18"/>
      <c r="B58" s="18" t="s">
        <v>22</v>
      </c>
      <c r="C58" s="229"/>
    </row>
    <row r="59" spans="1:3" ht="15.75">
      <c r="A59" s="18"/>
      <c r="B59" s="18" t="s">
        <v>96</v>
      </c>
      <c r="C59" s="229"/>
    </row>
    <row r="60" spans="1:3" ht="15.75">
      <c r="A60" s="18"/>
      <c r="B60" s="55" t="s">
        <v>97</v>
      </c>
      <c r="C60" s="229"/>
    </row>
    <row r="61" spans="1:3" ht="15.75">
      <c r="A61" s="18"/>
      <c r="B61" s="49" t="s">
        <v>98</v>
      </c>
      <c r="C61" s="229"/>
    </row>
    <row r="62" spans="1:3" ht="15.75">
      <c r="A62" s="18"/>
      <c r="B62" s="49" t="s">
        <v>99</v>
      </c>
      <c r="C62" s="229"/>
    </row>
    <row r="63" spans="1:3" ht="15.75">
      <c r="A63" s="18"/>
      <c r="B63" s="49" t="s">
        <v>100</v>
      </c>
      <c r="C63" s="229"/>
    </row>
    <row r="64" spans="1:3" ht="15.75">
      <c r="A64" s="58"/>
      <c r="B64" s="49" t="s">
        <v>101</v>
      </c>
      <c r="C64" s="232"/>
    </row>
  </sheetData>
  <sheetProtection/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="80" zoomScaleNormal="80" zoomScalePageLayoutView="0" workbookViewId="0" topLeftCell="A1">
      <pane xSplit="4" ySplit="7" topLeftCell="E4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9" sqref="B29"/>
    </sheetView>
  </sheetViews>
  <sheetFormatPr defaultColWidth="9.00390625" defaultRowHeight="12.75"/>
  <cols>
    <col min="1" max="1" width="47.25390625" style="0" customWidth="1"/>
    <col min="2" max="2" width="5.125" style="0" bestFit="1" customWidth="1"/>
    <col min="3" max="3" width="15.625" style="0" customWidth="1"/>
    <col min="4" max="4" width="17.875" style="0" customWidth="1"/>
    <col min="5" max="5" width="18.00390625" style="0" bestFit="1" customWidth="1"/>
    <col min="6" max="6" width="19.75390625" style="0" customWidth="1"/>
    <col min="7" max="7" width="18.375" style="0" customWidth="1"/>
    <col min="8" max="8" width="8.125" style="0" customWidth="1"/>
    <col min="9" max="10" width="20.00390625" style="0" customWidth="1"/>
  </cols>
  <sheetData>
    <row r="1" spans="1:10" ht="27" customHeight="1">
      <c r="A1" s="69" t="s">
        <v>142</v>
      </c>
      <c r="B1" s="63"/>
      <c r="C1" s="63"/>
      <c r="D1" s="63"/>
      <c r="E1" s="63"/>
      <c r="F1" s="63"/>
      <c r="G1" s="63"/>
      <c r="H1" s="10"/>
      <c r="I1" s="10"/>
      <c r="J1" s="10"/>
    </row>
    <row r="2" spans="2:10" ht="15.75">
      <c r="B2" s="64"/>
      <c r="C2" s="123" t="s">
        <v>727</v>
      </c>
      <c r="D2" s="64"/>
      <c r="E2" s="64"/>
      <c r="F2" s="64"/>
      <c r="G2" s="64"/>
      <c r="H2" s="10"/>
      <c r="I2" s="10"/>
      <c r="J2" s="10"/>
    </row>
    <row r="3" spans="1:10" ht="15" customHeight="1">
      <c r="A3" s="294" t="s">
        <v>20</v>
      </c>
      <c r="B3" s="294" t="s">
        <v>111</v>
      </c>
      <c r="C3" s="297" t="s">
        <v>112</v>
      </c>
      <c r="D3" s="295" t="s">
        <v>113</v>
      </c>
      <c r="E3" s="295"/>
      <c r="F3" s="295"/>
      <c r="G3" s="295"/>
      <c r="H3" s="295"/>
      <c r="I3" s="295"/>
      <c r="J3" s="295"/>
    </row>
    <row r="4" spans="1:10" ht="15" customHeight="1">
      <c r="A4" s="294"/>
      <c r="B4" s="294"/>
      <c r="C4" s="298"/>
      <c r="D4" s="295" t="s">
        <v>24</v>
      </c>
      <c r="E4" s="295" t="s">
        <v>25</v>
      </c>
      <c r="F4" s="295"/>
      <c r="G4" s="295"/>
      <c r="H4" s="295"/>
      <c r="I4" s="295"/>
      <c r="J4" s="295"/>
    </row>
    <row r="5" spans="1:10" ht="74.25" customHeight="1">
      <c r="A5" s="294"/>
      <c r="B5" s="294"/>
      <c r="C5" s="298"/>
      <c r="D5" s="295"/>
      <c r="E5" s="297" t="s">
        <v>114</v>
      </c>
      <c r="F5" s="297" t="s">
        <v>115</v>
      </c>
      <c r="G5" s="297" t="s">
        <v>116</v>
      </c>
      <c r="H5" s="300" t="s">
        <v>117</v>
      </c>
      <c r="I5" s="294" t="s">
        <v>118</v>
      </c>
      <c r="J5" s="294"/>
    </row>
    <row r="6" spans="1:10" ht="26.25" customHeight="1">
      <c r="A6" s="294"/>
      <c r="B6" s="294"/>
      <c r="C6" s="299"/>
      <c r="D6" s="295"/>
      <c r="E6" s="299"/>
      <c r="F6" s="299"/>
      <c r="G6" s="299"/>
      <c r="H6" s="301"/>
      <c r="I6" s="48" t="s">
        <v>119</v>
      </c>
      <c r="J6" s="89" t="s">
        <v>120</v>
      </c>
    </row>
    <row r="7" spans="1:10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15">
      <c r="A8" s="12"/>
      <c r="B8" s="11"/>
      <c r="C8" s="11"/>
      <c r="D8" s="30"/>
      <c r="E8" s="27"/>
      <c r="F8" s="31"/>
      <c r="G8" s="27"/>
      <c r="H8" s="27"/>
      <c r="I8" s="27"/>
      <c r="J8" s="27"/>
    </row>
    <row r="9" spans="1:10" ht="15">
      <c r="A9" s="13" t="s">
        <v>121</v>
      </c>
      <c r="B9" s="14">
        <v>100</v>
      </c>
      <c r="C9" s="11"/>
      <c r="D9" s="29">
        <f>E9+F9+G9+I9</f>
        <v>25820997.55</v>
      </c>
      <c r="E9" s="27">
        <f>E12</f>
        <v>23628200</v>
      </c>
      <c r="F9" s="27">
        <f>F25</f>
        <v>1044579.55</v>
      </c>
      <c r="G9" s="27">
        <f>G25</f>
        <v>0</v>
      </c>
      <c r="H9" s="11" t="s">
        <v>28</v>
      </c>
      <c r="I9" s="27">
        <f>I11+I12+I23+I24+I26+I27</f>
        <v>1148218</v>
      </c>
      <c r="J9" s="27">
        <f>J12+J26</f>
        <v>0</v>
      </c>
    </row>
    <row r="10" spans="1:10" ht="15">
      <c r="A10" s="12" t="s">
        <v>26</v>
      </c>
      <c r="B10" s="11"/>
      <c r="C10" s="11"/>
      <c r="D10" s="30"/>
      <c r="E10" s="27"/>
      <c r="F10" s="27"/>
      <c r="G10" s="27"/>
      <c r="H10" s="11"/>
      <c r="I10" s="27"/>
      <c r="J10" s="27"/>
    </row>
    <row r="11" spans="1:10" ht="17.25" customHeight="1">
      <c r="A11" s="41" t="s">
        <v>38</v>
      </c>
      <c r="B11" s="11">
        <v>110</v>
      </c>
      <c r="C11" s="11">
        <v>120</v>
      </c>
      <c r="D11" s="31">
        <f>I11</f>
        <v>0</v>
      </c>
      <c r="E11" s="11" t="s">
        <v>28</v>
      </c>
      <c r="F11" s="11" t="s">
        <v>28</v>
      </c>
      <c r="G11" s="11" t="s">
        <v>28</v>
      </c>
      <c r="H11" s="11" t="s">
        <v>28</v>
      </c>
      <c r="I11" s="27"/>
      <c r="J11" s="11" t="s">
        <v>28</v>
      </c>
    </row>
    <row r="12" spans="1:10" ht="45">
      <c r="A12" s="41" t="s">
        <v>155</v>
      </c>
      <c r="B12" s="11">
        <v>120</v>
      </c>
      <c r="C12" s="11">
        <v>130</v>
      </c>
      <c r="D12" s="30">
        <f>SUM(D14:D21)</f>
        <v>24180025</v>
      </c>
      <c r="E12" s="30">
        <f>SUM(E14)</f>
        <v>23628200</v>
      </c>
      <c r="F12" s="11" t="s">
        <v>28</v>
      </c>
      <c r="G12" s="11" t="s">
        <v>28</v>
      </c>
      <c r="H12" s="11" t="s">
        <v>28</v>
      </c>
      <c r="I12" s="30">
        <f>SUM(I14:I21)</f>
        <v>551825</v>
      </c>
      <c r="J12" s="30">
        <f>SUM(J14:J16)</f>
        <v>0</v>
      </c>
    </row>
    <row r="13" spans="1:10" ht="15">
      <c r="A13" s="12" t="s">
        <v>26</v>
      </c>
      <c r="B13" s="11"/>
      <c r="C13" s="11"/>
      <c r="D13" s="30"/>
      <c r="E13" s="46"/>
      <c r="F13" s="27"/>
      <c r="G13" s="27"/>
      <c r="H13" s="11"/>
      <c r="I13" s="27"/>
      <c r="J13" s="27"/>
    </row>
    <row r="14" spans="1:10" ht="30">
      <c r="A14" s="126" t="s">
        <v>230</v>
      </c>
      <c r="B14" s="11">
        <v>1201</v>
      </c>
      <c r="C14" s="11"/>
      <c r="D14" s="30">
        <f>E14+I14</f>
        <v>23628200</v>
      </c>
      <c r="E14" s="46">
        <v>23628200</v>
      </c>
      <c r="F14" s="11" t="s">
        <v>28</v>
      </c>
      <c r="G14" s="11" t="s">
        <v>28</v>
      </c>
      <c r="H14" s="11" t="s">
        <v>28</v>
      </c>
      <c r="I14" s="27"/>
      <c r="J14" s="27"/>
    </row>
    <row r="15" spans="1:10" ht="30">
      <c r="A15" s="12" t="s">
        <v>229</v>
      </c>
      <c r="B15" s="11">
        <v>1202</v>
      </c>
      <c r="C15" s="11"/>
      <c r="D15" s="30">
        <f>I15</f>
        <v>530000</v>
      </c>
      <c r="E15" s="11" t="s">
        <v>28</v>
      </c>
      <c r="F15" s="11" t="s">
        <v>28</v>
      </c>
      <c r="G15" s="11" t="s">
        <v>28</v>
      </c>
      <c r="H15" s="11" t="s">
        <v>28</v>
      </c>
      <c r="I15" s="27">
        <v>530000</v>
      </c>
      <c r="J15" s="11" t="s">
        <v>28</v>
      </c>
    </row>
    <row r="16" spans="1:10" ht="15" customHeight="1">
      <c r="A16" s="359" t="s">
        <v>124</v>
      </c>
      <c r="B16" s="11">
        <v>1203</v>
      </c>
      <c r="C16" s="11"/>
      <c r="D16" s="31">
        <f>I16</f>
        <v>21825</v>
      </c>
      <c r="E16" s="11" t="s">
        <v>28</v>
      </c>
      <c r="F16" s="11" t="s">
        <v>28</v>
      </c>
      <c r="G16" s="11" t="s">
        <v>28</v>
      </c>
      <c r="H16" s="11" t="s">
        <v>28</v>
      </c>
      <c r="I16" s="27">
        <v>21825</v>
      </c>
      <c r="J16" s="11" t="s">
        <v>28</v>
      </c>
    </row>
    <row r="17" spans="1:10" ht="15" customHeight="1" hidden="1">
      <c r="A17" s="12"/>
      <c r="B17" s="11">
        <v>1204</v>
      </c>
      <c r="C17" s="11"/>
      <c r="D17" s="31">
        <f>I17</f>
        <v>0</v>
      </c>
      <c r="E17" s="11" t="s">
        <v>28</v>
      </c>
      <c r="F17" s="11" t="s">
        <v>28</v>
      </c>
      <c r="G17" s="11" t="s">
        <v>28</v>
      </c>
      <c r="H17" s="11" t="s">
        <v>28</v>
      </c>
      <c r="I17" s="27"/>
      <c r="J17" s="11" t="s">
        <v>28</v>
      </c>
    </row>
    <row r="18" spans="1:10" ht="18.75" customHeight="1" hidden="1">
      <c r="A18" s="12"/>
      <c r="B18" s="11">
        <v>1205</v>
      </c>
      <c r="C18" s="11"/>
      <c r="D18" s="31">
        <f>I18</f>
        <v>0</v>
      </c>
      <c r="E18" s="11" t="s">
        <v>28</v>
      </c>
      <c r="F18" s="11" t="s">
        <v>28</v>
      </c>
      <c r="G18" s="11" t="s">
        <v>28</v>
      </c>
      <c r="H18" s="11" t="s">
        <v>28</v>
      </c>
      <c r="I18" s="27"/>
      <c r="J18" s="11" t="s">
        <v>28</v>
      </c>
    </row>
    <row r="19" spans="1:10" ht="15" customHeight="1" hidden="1">
      <c r="A19" s="12"/>
      <c r="B19" s="11">
        <v>1206</v>
      </c>
      <c r="C19" s="11"/>
      <c r="D19" s="31">
        <f>I19</f>
        <v>0</v>
      </c>
      <c r="E19" s="11" t="s">
        <v>28</v>
      </c>
      <c r="F19" s="11" t="s">
        <v>28</v>
      </c>
      <c r="G19" s="11" t="s">
        <v>28</v>
      </c>
      <c r="H19" s="11" t="s">
        <v>28</v>
      </c>
      <c r="I19" s="27"/>
      <c r="J19" s="11" t="s">
        <v>28</v>
      </c>
    </row>
    <row r="20" spans="1:10" ht="15" customHeight="1" hidden="1">
      <c r="A20" s="12"/>
      <c r="B20" s="11">
        <v>1207</v>
      </c>
      <c r="C20" s="11"/>
      <c r="D20" s="30">
        <f>E20+I20</f>
        <v>0</v>
      </c>
      <c r="E20" s="46"/>
      <c r="F20" s="11" t="s">
        <v>28</v>
      </c>
      <c r="G20" s="11" t="s">
        <v>28</v>
      </c>
      <c r="H20" s="11" t="s">
        <v>28</v>
      </c>
      <c r="I20" s="27"/>
      <c r="J20" s="27"/>
    </row>
    <row r="21" spans="1:10" ht="15" customHeight="1" hidden="1">
      <c r="A21" s="12"/>
      <c r="B21" s="11">
        <v>1208</v>
      </c>
      <c r="C21" s="11"/>
      <c r="D21" s="30">
        <f>E21+I21</f>
        <v>0</v>
      </c>
      <c r="E21" s="46"/>
      <c r="F21" s="11" t="s">
        <v>28</v>
      </c>
      <c r="G21" s="11" t="s">
        <v>28</v>
      </c>
      <c r="H21" s="11" t="s">
        <v>28</v>
      </c>
      <c r="I21" s="27"/>
      <c r="J21" s="27"/>
    </row>
    <row r="22" spans="1:10" ht="15">
      <c r="A22" s="70" t="s">
        <v>27</v>
      </c>
      <c r="B22" s="88"/>
      <c r="C22" s="11"/>
      <c r="D22" s="30"/>
      <c r="E22" s="46"/>
      <c r="F22" s="27"/>
      <c r="G22" s="27"/>
      <c r="H22" s="11" t="s">
        <v>28</v>
      </c>
      <c r="I22" s="27"/>
      <c r="J22" s="27"/>
    </row>
    <row r="23" spans="1:10" ht="30">
      <c r="A23" s="41" t="s">
        <v>42</v>
      </c>
      <c r="B23" s="11">
        <v>130</v>
      </c>
      <c r="C23" s="11">
        <v>140</v>
      </c>
      <c r="D23" s="31">
        <f>I23</f>
        <v>0</v>
      </c>
      <c r="E23" s="11" t="s">
        <v>28</v>
      </c>
      <c r="F23" s="11" t="s">
        <v>28</v>
      </c>
      <c r="G23" s="11" t="s">
        <v>28</v>
      </c>
      <c r="H23" s="11" t="s">
        <v>28</v>
      </c>
      <c r="I23" s="27"/>
      <c r="J23" s="11" t="s">
        <v>28</v>
      </c>
    </row>
    <row r="24" spans="1:10" ht="33.75">
      <c r="A24" s="68" t="s">
        <v>122</v>
      </c>
      <c r="B24" s="11">
        <v>140</v>
      </c>
      <c r="C24" s="11">
        <v>152</v>
      </c>
      <c r="D24" s="31">
        <f>I24</f>
        <v>0</v>
      </c>
      <c r="E24" s="11" t="s">
        <v>28</v>
      </c>
      <c r="F24" s="11" t="s">
        <v>28</v>
      </c>
      <c r="G24" s="11" t="s">
        <v>28</v>
      </c>
      <c r="H24" s="11" t="s">
        <v>28</v>
      </c>
      <c r="I24" s="27"/>
      <c r="J24" s="11" t="s">
        <v>28</v>
      </c>
    </row>
    <row r="25" spans="1:10" ht="15">
      <c r="A25" s="12" t="s">
        <v>123</v>
      </c>
      <c r="B25" s="11">
        <v>150</v>
      </c>
      <c r="C25" s="11">
        <v>180</v>
      </c>
      <c r="D25" s="30">
        <f>F25+G25</f>
        <v>1044579.55</v>
      </c>
      <c r="E25" s="11" t="s">
        <v>28</v>
      </c>
      <c r="F25" s="27">
        <f>1128635-850-83205.45</f>
        <v>1044579.55</v>
      </c>
      <c r="G25" s="27"/>
      <c r="H25" s="11" t="s">
        <v>28</v>
      </c>
      <c r="I25" s="11" t="s">
        <v>28</v>
      </c>
      <c r="J25" s="11" t="s">
        <v>28</v>
      </c>
    </row>
    <row r="26" spans="1:10" ht="18" customHeight="1">
      <c r="A26" s="12" t="s">
        <v>124</v>
      </c>
      <c r="B26" s="11">
        <v>160</v>
      </c>
      <c r="C26" s="11">
        <v>180</v>
      </c>
      <c r="D26" s="30">
        <f>I26</f>
        <v>596393</v>
      </c>
      <c r="E26" s="11" t="s">
        <v>28</v>
      </c>
      <c r="F26" s="11" t="s">
        <v>28</v>
      </c>
      <c r="G26" s="11" t="s">
        <v>28</v>
      </c>
      <c r="H26" s="11" t="s">
        <v>28</v>
      </c>
      <c r="I26" s="27">
        <f>769480-173087</f>
        <v>596393</v>
      </c>
      <c r="J26" s="27"/>
    </row>
    <row r="27" spans="1:10" ht="15">
      <c r="A27" s="41" t="s">
        <v>125</v>
      </c>
      <c r="B27" s="88">
        <v>180</v>
      </c>
      <c r="C27" s="11" t="s">
        <v>28</v>
      </c>
      <c r="D27" s="31">
        <f>SUM(D29:D31)</f>
        <v>0</v>
      </c>
      <c r="E27" s="11" t="s">
        <v>28</v>
      </c>
      <c r="F27" s="11" t="s">
        <v>28</v>
      </c>
      <c r="G27" s="11" t="s">
        <v>28</v>
      </c>
      <c r="H27" s="11" t="s">
        <v>28</v>
      </c>
      <c r="I27" s="31">
        <f>SUM(I29:I31)</f>
        <v>0</v>
      </c>
      <c r="J27" s="11" t="s">
        <v>28</v>
      </c>
    </row>
    <row r="28" spans="1:10" ht="15">
      <c r="A28" s="12" t="s">
        <v>26</v>
      </c>
      <c r="B28" s="11"/>
      <c r="C28" s="11"/>
      <c r="D28" s="30">
        <f>E28+F28+G28</f>
        <v>0</v>
      </c>
      <c r="E28" s="27"/>
      <c r="F28" s="27"/>
      <c r="G28" s="27"/>
      <c r="H28" s="11"/>
      <c r="I28" s="27"/>
      <c r="J28" s="27"/>
    </row>
    <row r="29" spans="1:10" ht="30">
      <c r="A29" s="12" t="s">
        <v>156</v>
      </c>
      <c r="B29" s="11">
        <v>1801</v>
      </c>
      <c r="C29" s="11">
        <v>440</v>
      </c>
      <c r="D29" s="31">
        <f>I29</f>
        <v>0</v>
      </c>
      <c r="E29" s="11" t="s">
        <v>28</v>
      </c>
      <c r="F29" s="11" t="s">
        <v>28</v>
      </c>
      <c r="G29" s="11" t="s">
        <v>28</v>
      </c>
      <c r="H29" s="11" t="s">
        <v>28</v>
      </c>
      <c r="I29" s="27"/>
      <c r="J29" s="11" t="s">
        <v>28</v>
      </c>
    </row>
    <row r="30" spans="1:10" ht="15" customHeight="1" hidden="1">
      <c r="A30" s="12"/>
      <c r="B30" s="11">
        <v>1802</v>
      </c>
      <c r="C30" s="88"/>
      <c r="D30" s="31">
        <f>I30</f>
        <v>0</v>
      </c>
      <c r="E30" s="11" t="s">
        <v>28</v>
      </c>
      <c r="F30" s="11" t="s">
        <v>28</v>
      </c>
      <c r="G30" s="11" t="s">
        <v>28</v>
      </c>
      <c r="H30" s="11" t="s">
        <v>28</v>
      </c>
      <c r="I30" s="27"/>
      <c r="J30" s="11" t="s">
        <v>28</v>
      </c>
    </row>
    <row r="31" spans="1:10" ht="15" customHeight="1" hidden="1">
      <c r="A31" s="12"/>
      <c r="B31" s="11">
        <v>1803</v>
      </c>
      <c r="C31" s="11"/>
      <c r="D31" s="31">
        <f>I31</f>
        <v>0</v>
      </c>
      <c r="E31" s="11" t="s">
        <v>28</v>
      </c>
      <c r="F31" s="11" t="s">
        <v>28</v>
      </c>
      <c r="G31" s="11" t="s">
        <v>28</v>
      </c>
      <c r="H31" s="11" t="s">
        <v>28</v>
      </c>
      <c r="I31" s="27"/>
      <c r="J31" s="11" t="s">
        <v>28</v>
      </c>
    </row>
    <row r="32" spans="1:10" ht="15">
      <c r="A32" s="77" t="s">
        <v>126</v>
      </c>
      <c r="B32" s="74">
        <v>200</v>
      </c>
      <c r="C32" s="14"/>
      <c r="D32" s="28">
        <f>D52+D55+D59+D63+D64+D65+D66</f>
        <v>25824933.740000002</v>
      </c>
      <c r="E32" s="28">
        <f>E52+E55+E59+E63+E64+E65+E66</f>
        <v>23632136.19</v>
      </c>
      <c r="F32" s="28">
        <f>F52+F55+F59+F63+F64+F65+F66</f>
        <v>1044579.55</v>
      </c>
      <c r="G32" s="28">
        <f>G52+G55+G59+G63+G64+G65+G66</f>
        <v>0</v>
      </c>
      <c r="H32" s="11" t="s">
        <v>28</v>
      </c>
      <c r="I32" s="28">
        <f>I52+I55+I59+I63+I64+I65+I66</f>
        <v>1148218</v>
      </c>
      <c r="J32" s="28">
        <f>J52+J55+J59+J63+J64+J65+J66</f>
        <v>0</v>
      </c>
    </row>
    <row r="33" spans="1:10" ht="15">
      <c r="A33" s="76" t="s">
        <v>127</v>
      </c>
      <c r="D33" s="30"/>
      <c r="E33" s="30"/>
      <c r="F33" s="30"/>
      <c r="G33" s="28"/>
      <c r="H33" s="11" t="s">
        <v>28</v>
      </c>
      <c r="I33" s="28"/>
      <c r="J33" s="28"/>
    </row>
    <row r="34" spans="1:10" ht="15">
      <c r="A34" s="26" t="s">
        <v>440</v>
      </c>
      <c r="B34" s="14"/>
      <c r="C34" s="30"/>
      <c r="D34" s="28">
        <f>E34+F34+G34+I34</f>
        <v>18503624.19</v>
      </c>
      <c r="E34" s="46">
        <f>18499688+3936.19</f>
        <v>18503624.19</v>
      </c>
      <c r="F34" s="27"/>
      <c r="G34" s="27"/>
      <c r="H34" s="11" t="s">
        <v>28</v>
      </c>
      <c r="I34" s="27"/>
      <c r="J34" s="28"/>
    </row>
    <row r="35" spans="1:10" ht="15">
      <c r="A35" s="26" t="s">
        <v>441</v>
      </c>
      <c r="B35" s="14"/>
      <c r="C35" s="30"/>
      <c r="D35" s="28"/>
      <c r="E35" s="46"/>
      <c r="F35" s="264">
        <v>248100</v>
      </c>
      <c r="G35" s="27"/>
      <c r="H35" s="11"/>
      <c r="I35" s="27"/>
      <c r="J35" s="28"/>
    </row>
    <row r="36" spans="1:10" ht="15">
      <c r="A36" s="26" t="s">
        <v>444</v>
      </c>
      <c r="B36" s="14"/>
      <c r="C36" s="30"/>
      <c r="D36" s="28">
        <f aca="true" t="shared" si="0" ref="D36:D43">E36+F36+G36+I36</f>
        <v>256428</v>
      </c>
      <c r="E36" s="46">
        <v>256428</v>
      </c>
      <c r="F36" s="27"/>
      <c r="G36" s="27"/>
      <c r="H36" s="11" t="s">
        <v>28</v>
      </c>
      <c r="I36" s="27"/>
      <c r="J36" s="28"/>
    </row>
    <row r="37" spans="1:10" ht="15">
      <c r="A37" s="26" t="s">
        <v>445</v>
      </c>
      <c r="B37" s="14"/>
      <c r="C37" s="30"/>
      <c r="D37" s="28">
        <f t="shared" si="0"/>
        <v>4872084</v>
      </c>
      <c r="E37" s="46">
        <v>4872084</v>
      </c>
      <c r="F37" s="27"/>
      <c r="G37" s="27"/>
      <c r="H37" s="11" t="s">
        <v>28</v>
      </c>
      <c r="I37" s="27"/>
      <c r="J37" s="28"/>
    </row>
    <row r="38" spans="1:10" ht="15">
      <c r="A38" s="196" t="s">
        <v>442</v>
      </c>
      <c r="B38" s="14"/>
      <c r="C38" s="30"/>
      <c r="D38" s="28"/>
      <c r="E38" s="46"/>
      <c r="F38" s="27">
        <f>29000-2500</f>
        <v>26500</v>
      </c>
      <c r="G38" s="27"/>
      <c r="H38" s="11"/>
      <c r="I38" s="27"/>
      <c r="J38" s="28"/>
    </row>
    <row r="39" spans="1:10" ht="15">
      <c r="A39" s="196" t="s">
        <v>443</v>
      </c>
      <c r="B39" s="14"/>
      <c r="C39" s="30"/>
      <c r="D39" s="28"/>
      <c r="E39" s="46"/>
      <c r="F39" s="264">
        <v>550000</v>
      </c>
      <c r="G39" s="27"/>
      <c r="H39" s="11"/>
      <c r="I39" s="27"/>
      <c r="J39" s="28"/>
    </row>
    <row r="40" spans="1:10" ht="15">
      <c r="A40" s="26" t="s">
        <v>223</v>
      </c>
      <c r="B40" s="14"/>
      <c r="C40" s="30"/>
      <c r="D40" s="28">
        <f t="shared" si="0"/>
        <v>56400</v>
      </c>
      <c r="E40" s="27"/>
      <c r="F40" s="264">
        <v>56400</v>
      </c>
      <c r="G40" s="27"/>
      <c r="H40" s="11" t="s">
        <v>28</v>
      </c>
      <c r="I40" s="27"/>
      <c r="J40" s="28"/>
    </row>
    <row r="41" spans="1:10" ht="15">
      <c r="A41" s="26" t="s">
        <v>224</v>
      </c>
      <c r="B41" s="14"/>
      <c r="C41" s="30"/>
      <c r="D41" s="28">
        <f t="shared" si="0"/>
        <v>94000</v>
      </c>
      <c r="E41" s="27"/>
      <c r="F41" s="264">
        <v>94000</v>
      </c>
      <c r="G41" s="27"/>
      <c r="H41" s="11" t="s">
        <v>28</v>
      </c>
      <c r="I41" s="27"/>
      <c r="J41" s="28"/>
    </row>
    <row r="42" spans="1:10" ht="15" customHeight="1">
      <c r="A42" s="26" t="s">
        <v>721</v>
      </c>
      <c r="B42" s="14"/>
      <c r="C42" s="30"/>
      <c r="D42" s="28">
        <f t="shared" si="0"/>
        <v>54969</v>
      </c>
      <c r="E42" s="27"/>
      <c r="F42" s="264">
        <f>57285-850-1466</f>
        <v>54969</v>
      </c>
      <c r="G42" s="27"/>
      <c r="H42" s="11" t="s">
        <v>28</v>
      </c>
      <c r="I42" s="27"/>
      <c r="J42" s="28"/>
    </row>
    <row r="43" spans="1:10" ht="15" customHeight="1">
      <c r="A43" s="26" t="s">
        <v>722</v>
      </c>
      <c r="B43" s="14"/>
      <c r="C43" s="30"/>
      <c r="D43" s="28">
        <f t="shared" si="0"/>
        <v>14610.55</v>
      </c>
      <c r="E43" s="27"/>
      <c r="F43" s="264">
        <v>14610.55</v>
      </c>
      <c r="G43" s="27"/>
      <c r="H43" s="11" t="s">
        <v>28</v>
      </c>
      <c r="I43" s="27"/>
      <c r="J43" s="28"/>
    </row>
    <row r="44" spans="1:10" ht="15" customHeight="1" hidden="1">
      <c r="A44" s="26"/>
      <c r="B44" s="14"/>
      <c r="C44" s="30"/>
      <c r="D44" s="28"/>
      <c r="E44" s="211"/>
      <c r="F44" s="27">
        <f>SUM(F34:F43)-F32</f>
        <v>0</v>
      </c>
      <c r="G44" s="27"/>
      <c r="H44" s="11" t="s">
        <v>28</v>
      </c>
      <c r="I44" s="27"/>
      <c r="J44" s="28"/>
    </row>
    <row r="45" spans="1:10" ht="15" customHeight="1" hidden="1">
      <c r="A45" s="26"/>
      <c r="B45" s="14"/>
      <c r="C45" s="30"/>
      <c r="D45" s="28"/>
      <c r="E45" s="27"/>
      <c r="F45" s="27"/>
      <c r="G45" s="27"/>
      <c r="H45" s="11" t="s">
        <v>28</v>
      </c>
      <c r="I45" s="27"/>
      <c r="J45" s="28"/>
    </row>
    <row r="46" spans="1:10" ht="15" customHeight="1" hidden="1">
      <c r="A46" s="26"/>
      <c r="B46" s="14"/>
      <c r="C46" s="30"/>
      <c r="D46" s="28"/>
      <c r="E46" s="27"/>
      <c r="F46" s="27"/>
      <c r="G46" s="27"/>
      <c r="H46" s="11" t="s">
        <v>28</v>
      </c>
      <c r="I46" s="27"/>
      <c r="J46" s="28"/>
    </row>
    <row r="47" spans="1:10" ht="15" customHeight="1" hidden="1">
      <c r="A47" s="26"/>
      <c r="B47" s="14"/>
      <c r="C47" s="30"/>
      <c r="D47" s="28"/>
      <c r="E47" s="27"/>
      <c r="F47" s="27"/>
      <c r="G47" s="27"/>
      <c r="H47" s="11" t="s">
        <v>28</v>
      </c>
      <c r="I47" s="27"/>
      <c r="J47" s="28"/>
    </row>
    <row r="48" spans="1:10" ht="15" customHeight="1" hidden="1">
      <c r="A48" s="26"/>
      <c r="B48" s="14"/>
      <c r="C48" s="30"/>
      <c r="D48" s="28"/>
      <c r="E48" s="27"/>
      <c r="F48" s="27"/>
      <c r="G48" s="27"/>
      <c r="H48" s="11" t="s">
        <v>28</v>
      </c>
      <c r="I48" s="27"/>
      <c r="J48" s="28"/>
    </row>
    <row r="49" spans="1:10" ht="15" customHeight="1" hidden="1">
      <c r="A49" s="26"/>
      <c r="B49" s="14"/>
      <c r="C49" s="30"/>
      <c r="D49" s="28"/>
      <c r="E49" s="27"/>
      <c r="F49" s="27"/>
      <c r="G49" s="27"/>
      <c r="H49" s="11" t="s">
        <v>28</v>
      </c>
      <c r="I49" s="27"/>
      <c r="J49" s="28"/>
    </row>
    <row r="50" spans="1:10" ht="15">
      <c r="A50" s="26" t="s">
        <v>731</v>
      </c>
      <c r="B50" s="14"/>
      <c r="C50" s="124"/>
      <c r="D50" s="28">
        <f>E50+F50+G50+I50</f>
        <v>1299480</v>
      </c>
      <c r="E50" s="27"/>
      <c r="F50" s="27"/>
      <c r="G50" s="27"/>
      <c r="H50" s="11" t="s">
        <v>28</v>
      </c>
      <c r="I50" s="27">
        <v>1299480</v>
      </c>
      <c r="J50" s="28"/>
    </row>
    <row r="51" spans="1:10" ht="15">
      <c r="A51" s="12" t="s">
        <v>21</v>
      </c>
      <c r="B51" s="11"/>
      <c r="C51" s="32">
        <f>SUM(C36:C50)</f>
        <v>0</v>
      </c>
      <c r="D51" s="32">
        <f aca="true" t="shared" si="1" ref="D51:J51">SUM(D34:D50)</f>
        <v>25151595.740000002</v>
      </c>
      <c r="E51" s="32">
        <f t="shared" si="1"/>
        <v>23632136.19</v>
      </c>
      <c r="F51" s="32">
        <f t="shared" si="1"/>
        <v>1044579.55</v>
      </c>
      <c r="G51" s="32">
        <f t="shared" si="1"/>
        <v>0</v>
      </c>
      <c r="H51" s="32">
        <f t="shared" si="1"/>
        <v>0</v>
      </c>
      <c r="I51" s="32">
        <f t="shared" si="1"/>
        <v>1299480</v>
      </c>
      <c r="J51" s="32">
        <f t="shared" si="1"/>
        <v>0</v>
      </c>
    </row>
    <row r="52" spans="1:10" ht="15">
      <c r="A52" s="12" t="s">
        <v>128</v>
      </c>
      <c r="B52" s="17">
        <v>210</v>
      </c>
      <c r="C52" s="17">
        <v>110</v>
      </c>
      <c r="D52" s="30">
        <f>E52+F52+G52+I52</f>
        <v>22322616</v>
      </c>
      <c r="E52" s="27">
        <v>21478123</v>
      </c>
      <c r="F52" s="27">
        <f>318100+3200-73200</f>
        <v>248100</v>
      </c>
      <c r="G52" s="27"/>
      <c r="H52" s="11" t="s">
        <v>28</v>
      </c>
      <c r="I52" s="27">
        <f>10416+769480-140796-42707</f>
        <v>596393</v>
      </c>
      <c r="J52" s="27"/>
    </row>
    <row r="53" spans="1:10" ht="15">
      <c r="A53" s="70" t="s">
        <v>21</v>
      </c>
      <c r="B53" s="17"/>
      <c r="C53" s="17"/>
      <c r="D53" s="30"/>
      <c r="E53" s="30"/>
      <c r="F53" s="30"/>
      <c r="G53" s="27"/>
      <c r="H53" s="11" t="s">
        <v>28</v>
      </c>
      <c r="I53" s="27"/>
      <c r="J53" s="27"/>
    </row>
    <row r="54" spans="1:10" ht="30">
      <c r="A54" s="12" t="s">
        <v>129</v>
      </c>
      <c r="B54" s="17">
        <v>211</v>
      </c>
      <c r="C54" s="17">
        <v>110</v>
      </c>
      <c r="D54" s="30">
        <f>E54+F54+G54+I54</f>
        <v>21391723</v>
      </c>
      <c r="E54" s="27">
        <v>21391723</v>
      </c>
      <c r="F54" s="27"/>
      <c r="G54" s="27"/>
      <c r="H54" s="11" t="s">
        <v>28</v>
      </c>
      <c r="I54" s="27"/>
      <c r="J54" s="27"/>
    </row>
    <row r="55" spans="1:10" ht="15">
      <c r="A55" s="12" t="s">
        <v>130</v>
      </c>
      <c r="B55" s="17">
        <v>220</v>
      </c>
      <c r="C55" s="17">
        <v>321</v>
      </c>
      <c r="D55" s="30">
        <f>E55+F55+G55+I55</f>
        <v>0</v>
      </c>
      <c r="E55" s="27">
        <f>E57</f>
        <v>0</v>
      </c>
      <c r="F55" s="27"/>
      <c r="G55" s="27"/>
      <c r="H55" s="11" t="s">
        <v>28</v>
      </c>
      <c r="I55" s="27"/>
      <c r="J55" s="27"/>
    </row>
    <row r="56" spans="1:10" ht="15">
      <c r="A56" s="12" t="s">
        <v>21</v>
      </c>
      <c r="B56" s="17"/>
      <c r="C56" s="17"/>
      <c r="D56" s="30"/>
      <c r="E56" s="27"/>
      <c r="F56" s="27"/>
      <c r="G56" s="27"/>
      <c r="H56" s="11" t="s">
        <v>28</v>
      </c>
      <c r="I56" s="27"/>
      <c r="J56" s="27"/>
    </row>
    <row r="57" spans="1:10" ht="47.25">
      <c r="A57" s="133" t="s">
        <v>235</v>
      </c>
      <c r="B57" s="134"/>
      <c r="C57" s="17"/>
      <c r="D57" s="30">
        <f>E57+F57+G57+I57</f>
        <v>0</v>
      </c>
      <c r="E57" s="27"/>
      <c r="F57" s="27"/>
      <c r="G57" s="27"/>
      <c r="H57" s="11" t="s">
        <v>28</v>
      </c>
      <c r="I57" s="27"/>
      <c r="J57" s="27"/>
    </row>
    <row r="58" spans="1:10" ht="15" customHeight="1">
      <c r="A58" s="12"/>
      <c r="B58" s="17"/>
      <c r="C58" s="17"/>
      <c r="D58" s="30">
        <f>E58+F58+G58</f>
        <v>0</v>
      </c>
      <c r="E58" s="27"/>
      <c r="F58" s="27"/>
      <c r="G58" s="27"/>
      <c r="H58" s="11" t="s">
        <v>28</v>
      </c>
      <c r="I58" s="27"/>
      <c r="J58" s="27"/>
    </row>
    <row r="59" spans="1:10" ht="15">
      <c r="A59" s="12" t="s">
        <v>131</v>
      </c>
      <c r="B59" s="17">
        <v>230</v>
      </c>
      <c r="C59" s="17">
        <v>850</v>
      </c>
      <c r="D59" s="30">
        <f>E59+F59+G59+I59</f>
        <v>32462.61</v>
      </c>
      <c r="E59" s="27">
        <f>SUM(E61:E62)</f>
        <v>32362.61</v>
      </c>
      <c r="F59" s="27"/>
      <c r="G59" s="27"/>
      <c r="H59" s="11" t="s">
        <v>28</v>
      </c>
      <c r="I59" s="27">
        <f>SUM(I61:I62)</f>
        <v>100</v>
      </c>
      <c r="J59" s="27"/>
    </row>
    <row r="60" spans="1:10" ht="15">
      <c r="A60" s="12" t="s">
        <v>21</v>
      </c>
      <c r="B60" s="17"/>
      <c r="C60" s="17"/>
      <c r="D60" s="30"/>
      <c r="E60" s="27"/>
      <c r="F60" s="27"/>
      <c r="G60" s="27"/>
      <c r="H60" s="11" t="s">
        <v>28</v>
      </c>
      <c r="I60" s="27"/>
      <c r="J60" s="27"/>
    </row>
    <row r="61" spans="1:10" ht="15">
      <c r="A61" s="125" t="s">
        <v>227</v>
      </c>
      <c r="B61" s="17"/>
      <c r="C61" s="17">
        <v>852</v>
      </c>
      <c r="D61" s="30">
        <f aca="true" t="shared" si="2" ref="D61:D66">E61+F61+G61+I61</f>
        <v>1000</v>
      </c>
      <c r="E61" s="27">
        <v>1000</v>
      </c>
      <c r="F61" s="27"/>
      <c r="G61" s="27"/>
      <c r="H61" s="11" t="s">
        <v>28</v>
      </c>
      <c r="I61" s="27"/>
      <c r="J61" s="27"/>
    </row>
    <row r="62" spans="1:10" ht="15">
      <c r="A62" s="25" t="s">
        <v>228</v>
      </c>
      <c r="B62" s="17"/>
      <c r="C62" s="17">
        <v>853</v>
      </c>
      <c r="D62" s="30">
        <f t="shared" si="2"/>
        <v>31462.61</v>
      </c>
      <c r="E62" s="27">
        <v>31362.61</v>
      </c>
      <c r="F62" s="27"/>
      <c r="G62" s="27"/>
      <c r="H62" s="11" t="s">
        <v>28</v>
      </c>
      <c r="I62" s="27">
        <v>100</v>
      </c>
      <c r="J62" s="27"/>
    </row>
    <row r="63" spans="1:10" ht="15">
      <c r="A63" s="73" t="s">
        <v>132</v>
      </c>
      <c r="B63" s="71">
        <v>240</v>
      </c>
      <c r="C63" s="246" t="s">
        <v>716</v>
      </c>
      <c r="D63" s="30">
        <f t="shared" si="2"/>
        <v>0</v>
      </c>
      <c r="E63" s="27"/>
      <c r="F63" s="27"/>
      <c r="G63" s="27"/>
      <c r="H63" s="11" t="s">
        <v>28</v>
      </c>
      <c r="I63" s="27"/>
      <c r="J63" s="27"/>
    </row>
    <row r="64" spans="1:10" ht="30">
      <c r="A64" s="72" t="s">
        <v>133</v>
      </c>
      <c r="B64" s="17">
        <v>250</v>
      </c>
      <c r="C64" s="17">
        <v>113</v>
      </c>
      <c r="D64" s="30">
        <f t="shared" si="2"/>
        <v>34850</v>
      </c>
      <c r="E64" s="27">
        <f>20000</f>
        <v>20000</v>
      </c>
      <c r="F64" s="27">
        <f>16322-1472</f>
        <v>14850</v>
      </c>
      <c r="G64" s="27"/>
      <c r="H64" s="11" t="s">
        <v>28</v>
      </c>
      <c r="I64" s="27"/>
      <c r="J64" s="27"/>
    </row>
    <row r="65" spans="1:10" ht="15">
      <c r="A65" s="12" t="s">
        <v>134</v>
      </c>
      <c r="B65" s="17">
        <v>260</v>
      </c>
      <c r="C65" s="11" t="s">
        <v>28</v>
      </c>
      <c r="D65" s="30">
        <f t="shared" si="2"/>
        <v>3435005.1300000018</v>
      </c>
      <c r="E65" s="132">
        <f>E9+E74-E52-E55-E59-E64</f>
        <v>2101650.5800000015</v>
      </c>
      <c r="F65" s="132">
        <f>F9+F74-F52-F59-F64</f>
        <v>781629.55</v>
      </c>
      <c r="G65" s="27"/>
      <c r="H65" s="11" t="s">
        <v>28</v>
      </c>
      <c r="I65" s="132">
        <f>I9+I74-I52-I55-I59-I64</f>
        <v>551725</v>
      </c>
      <c r="J65" s="27"/>
    </row>
    <row r="66" spans="1:10" ht="15">
      <c r="A66" s="90" t="s">
        <v>135</v>
      </c>
      <c r="B66" s="93">
        <v>300</v>
      </c>
      <c r="C66" s="16"/>
      <c r="D66" s="30">
        <f t="shared" si="2"/>
        <v>0</v>
      </c>
      <c r="E66" s="27"/>
      <c r="F66" s="27"/>
      <c r="G66" s="27"/>
      <c r="H66" s="11" t="s">
        <v>28</v>
      </c>
      <c r="I66" s="27"/>
      <c r="J66" s="27"/>
    </row>
    <row r="67" spans="1:10" ht="13.5" customHeight="1">
      <c r="A67" s="68" t="s">
        <v>21</v>
      </c>
      <c r="B67" s="94"/>
      <c r="C67" s="11"/>
      <c r="D67" s="30"/>
      <c r="E67" s="27"/>
      <c r="F67" s="27"/>
      <c r="G67" s="27"/>
      <c r="H67" s="27"/>
      <c r="I67" s="27"/>
      <c r="J67" s="27"/>
    </row>
    <row r="68" spans="1:10" ht="13.5" customHeight="1">
      <c r="A68" s="91" t="s">
        <v>136</v>
      </c>
      <c r="B68" s="94">
        <v>310</v>
      </c>
      <c r="C68" s="247" t="s">
        <v>717</v>
      </c>
      <c r="D68" s="30">
        <f>E68+F68+G68+I68</f>
        <v>0</v>
      </c>
      <c r="E68" s="27"/>
      <c r="F68" s="27"/>
      <c r="G68" s="27"/>
      <c r="H68" s="11" t="s">
        <v>28</v>
      </c>
      <c r="I68" s="27"/>
      <c r="J68" s="27"/>
    </row>
    <row r="69" spans="1:10" ht="13.5" customHeight="1">
      <c r="A69" s="92" t="s">
        <v>137</v>
      </c>
      <c r="B69" s="94">
        <v>320</v>
      </c>
      <c r="C69" s="247" t="s">
        <v>717</v>
      </c>
      <c r="D69" s="30">
        <f>E69+F69+G69+I69</f>
        <v>0</v>
      </c>
      <c r="E69" s="27"/>
      <c r="F69" s="27"/>
      <c r="G69" s="27"/>
      <c r="H69" s="11" t="s">
        <v>28</v>
      </c>
      <c r="I69" s="27"/>
      <c r="J69" s="27"/>
    </row>
    <row r="70" spans="1:10" ht="13.5" customHeight="1">
      <c r="A70" s="91" t="s">
        <v>138</v>
      </c>
      <c r="B70" s="94">
        <v>400</v>
      </c>
      <c r="C70" s="247" t="s">
        <v>717</v>
      </c>
      <c r="D70" s="30">
        <f>E70+F70+G70+I70</f>
        <v>0</v>
      </c>
      <c r="E70" s="27"/>
      <c r="F70" s="27"/>
      <c r="G70" s="27"/>
      <c r="H70" s="11" t="s">
        <v>28</v>
      </c>
      <c r="I70" s="27"/>
      <c r="J70" s="27"/>
    </row>
    <row r="71" spans="1:10" ht="13.5" customHeight="1">
      <c r="A71" s="68" t="s">
        <v>21</v>
      </c>
      <c r="B71" s="94"/>
      <c r="C71" s="247"/>
      <c r="D71" s="30"/>
      <c r="E71" s="27"/>
      <c r="F71" s="27"/>
      <c r="G71" s="27"/>
      <c r="H71" s="27"/>
      <c r="I71" s="27"/>
      <c r="J71" s="27"/>
    </row>
    <row r="72" spans="1:10" ht="13.5" customHeight="1">
      <c r="A72" s="91" t="s">
        <v>139</v>
      </c>
      <c r="B72" s="94">
        <v>410</v>
      </c>
      <c r="C72" s="247" t="s">
        <v>717</v>
      </c>
      <c r="D72" s="30">
        <f>E72+F72+G72+I72</f>
        <v>0</v>
      </c>
      <c r="E72" s="27"/>
      <c r="F72" s="27"/>
      <c r="G72" s="27"/>
      <c r="H72" s="11" t="s">
        <v>28</v>
      </c>
      <c r="I72" s="27"/>
      <c r="J72" s="27"/>
    </row>
    <row r="73" spans="1:10" ht="13.5" customHeight="1">
      <c r="A73" s="92" t="s">
        <v>140</v>
      </c>
      <c r="B73" s="94">
        <v>420</v>
      </c>
      <c r="C73" s="247" t="s">
        <v>717</v>
      </c>
      <c r="D73" s="30">
        <f>E73+F73+G73+I73</f>
        <v>0</v>
      </c>
      <c r="E73" s="27"/>
      <c r="F73" s="27"/>
      <c r="G73" s="27"/>
      <c r="H73" s="11" t="s">
        <v>28</v>
      </c>
      <c r="I73" s="27"/>
      <c r="J73" s="27"/>
    </row>
    <row r="74" spans="1:10" ht="15">
      <c r="A74" s="75" t="s">
        <v>141</v>
      </c>
      <c r="B74" s="71">
        <v>500</v>
      </c>
      <c r="C74" s="11" t="s">
        <v>28</v>
      </c>
      <c r="D74" s="30">
        <f>E74+F74+G74+I74</f>
        <v>3936.1899999999996</v>
      </c>
      <c r="E74" s="27">
        <v>3936.1899999999996</v>
      </c>
      <c r="F74" s="31"/>
      <c r="G74" s="27"/>
      <c r="H74" s="11" t="s">
        <v>28</v>
      </c>
      <c r="I74" s="31"/>
      <c r="J74" s="27"/>
    </row>
    <row r="75" spans="1:10" ht="15">
      <c r="A75" s="75" t="s">
        <v>29</v>
      </c>
      <c r="B75" s="71">
        <v>600</v>
      </c>
      <c r="C75" s="11" t="s">
        <v>28</v>
      </c>
      <c r="D75" s="30">
        <f>E75+F75+G75+I75</f>
        <v>0</v>
      </c>
      <c r="E75" s="27"/>
      <c r="F75" s="27"/>
      <c r="G75" s="27"/>
      <c r="H75" s="11" t="s">
        <v>28</v>
      </c>
      <c r="I75" s="27"/>
      <c r="J75" s="27"/>
    </row>
    <row r="76" spans="1:10" ht="15">
      <c r="A76" s="15" t="s">
        <v>30</v>
      </c>
      <c r="B76" s="16"/>
      <c r="C76" s="27"/>
      <c r="D76" s="27"/>
      <c r="E76" s="27"/>
      <c r="F76" s="27"/>
      <c r="G76" s="27"/>
      <c r="H76" s="27"/>
      <c r="I76" s="27"/>
      <c r="J76" s="27"/>
    </row>
    <row r="77" spans="1:10" ht="15">
      <c r="A77" s="12" t="s">
        <v>31</v>
      </c>
      <c r="B77" s="11"/>
      <c r="C77" s="30">
        <f>D77+E77+F77</f>
        <v>0</v>
      </c>
      <c r="D77" s="27"/>
      <c r="E77" s="27"/>
      <c r="F77" s="27"/>
      <c r="G77" s="27"/>
      <c r="H77" s="27"/>
      <c r="I77" s="27"/>
      <c r="J77" s="27"/>
    </row>
    <row r="78" spans="1:10" ht="41.25" customHeight="1">
      <c r="A78" s="296" t="s">
        <v>143</v>
      </c>
      <c r="B78" s="296"/>
      <c r="C78" s="296"/>
      <c r="D78" s="296"/>
      <c r="E78" s="296"/>
      <c r="F78" s="296"/>
      <c r="G78" s="296"/>
      <c r="H78" s="296"/>
      <c r="I78" s="296"/>
      <c r="J78" s="296"/>
    </row>
    <row r="79" spans="1:9" s="129" customFormat="1" ht="37.5" customHeight="1">
      <c r="A79" s="131"/>
      <c r="B79" s="128"/>
      <c r="C79" s="128"/>
      <c r="D79" s="127">
        <f>D9+D74-D32</f>
        <v>0</v>
      </c>
      <c r="E79" s="127">
        <f>E9+E74-E32</f>
        <v>0</v>
      </c>
      <c r="F79" s="127">
        <f>F9+F74-F32</f>
        <v>0</v>
      </c>
      <c r="G79" s="128"/>
      <c r="I79" s="127">
        <f>I9+I74-I32</f>
        <v>0</v>
      </c>
    </row>
  </sheetData>
  <sheetProtection/>
  <mergeCells count="12">
    <mergeCell ref="I5:J5"/>
    <mergeCell ref="A3:A6"/>
    <mergeCell ref="B3:B6"/>
    <mergeCell ref="D4:D6"/>
    <mergeCell ref="A78:J78"/>
    <mergeCell ref="D3:J3"/>
    <mergeCell ref="E4:J4"/>
    <mergeCell ref="C3:C6"/>
    <mergeCell ref="E5:E6"/>
    <mergeCell ref="F5:F6"/>
    <mergeCell ref="G5:G6"/>
    <mergeCell ref="H5:H6"/>
  </mergeCells>
  <printOptions/>
  <pageMargins left="0.3937007874015748" right="0.1968503937007874" top="0.5905511811023623" bottom="0.5905511811023623" header="0.5118110236220472" footer="0.5118110236220472"/>
  <pageSetup fitToHeight="2" fitToWidth="1" horizontalDpi="600" verticalDpi="600" orientation="landscape" paperSize="9" scale="7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="90" zoomScaleNormal="90" zoomScalePageLayoutView="0" workbookViewId="0" topLeftCell="A1">
      <pane xSplit="4" ySplit="7" topLeftCell="E2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0" sqref="A50"/>
    </sheetView>
  </sheetViews>
  <sheetFormatPr defaultColWidth="9.00390625" defaultRowHeight="12.75"/>
  <cols>
    <col min="1" max="1" width="81.75390625" style="0" customWidth="1"/>
    <col min="2" max="2" width="5.125" style="0" bestFit="1" customWidth="1"/>
    <col min="3" max="3" width="15.625" style="0" customWidth="1"/>
    <col min="4" max="4" width="17.875" style="0" customWidth="1"/>
    <col min="5" max="5" width="18.00390625" style="0" bestFit="1" customWidth="1"/>
    <col min="6" max="6" width="23.375" style="0" customWidth="1"/>
    <col min="7" max="7" width="20.00390625" style="0" customWidth="1"/>
    <col min="8" max="8" width="8.125" style="0" customWidth="1"/>
    <col min="9" max="10" width="20.00390625" style="0" customWidth="1"/>
  </cols>
  <sheetData>
    <row r="1" spans="1:10" ht="15.75">
      <c r="A1" s="69" t="s">
        <v>142</v>
      </c>
      <c r="B1" s="63"/>
      <c r="C1" s="63"/>
      <c r="D1" s="63"/>
      <c r="E1" s="63"/>
      <c r="F1" s="63"/>
      <c r="G1" s="63"/>
      <c r="H1" s="10"/>
      <c r="I1" s="10"/>
      <c r="J1" s="10"/>
    </row>
    <row r="2" spans="2:10" ht="15.75">
      <c r="B2" s="64"/>
      <c r="C2" s="123" t="s">
        <v>728</v>
      </c>
      <c r="D2" s="64"/>
      <c r="E2" s="64"/>
      <c r="F2" s="64"/>
      <c r="G2" s="64"/>
      <c r="H2" s="10"/>
      <c r="I2" s="10"/>
      <c r="J2" s="10"/>
    </row>
    <row r="3" spans="1:10" ht="15" customHeight="1">
      <c r="A3" s="294" t="s">
        <v>20</v>
      </c>
      <c r="B3" s="294" t="s">
        <v>111</v>
      </c>
      <c r="C3" s="297" t="s">
        <v>112</v>
      </c>
      <c r="D3" s="295" t="s">
        <v>113</v>
      </c>
      <c r="E3" s="295"/>
      <c r="F3" s="295"/>
      <c r="G3" s="295"/>
      <c r="H3" s="295"/>
      <c r="I3" s="295"/>
      <c r="J3" s="295"/>
    </row>
    <row r="4" spans="1:10" ht="15" customHeight="1">
      <c r="A4" s="294"/>
      <c r="B4" s="294"/>
      <c r="C4" s="298"/>
      <c r="D4" s="295" t="s">
        <v>24</v>
      </c>
      <c r="E4" s="295" t="s">
        <v>25</v>
      </c>
      <c r="F4" s="295"/>
      <c r="G4" s="295"/>
      <c r="H4" s="295"/>
      <c r="I4" s="295"/>
      <c r="J4" s="295"/>
    </row>
    <row r="5" spans="1:10" ht="36" customHeight="1">
      <c r="A5" s="294"/>
      <c r="B5" s="294"/>
      <c r="C5" s="298"/>
      <c r="D5" s="295"/>
      <c r="E5" s="302" t="s">
        <v>114</v>
      </c>
      <c r="F5" s="302" t="s">
        <v>115</v>
      </c>
      <c r="G5" s="304" t="s">
        <v>116</v>
      </c>
      <c r="H5" s="300" t="s">
        <v>117</v>
      </c>
      <c r="I5" s="306" t="s">
        <v>118</v>
      </c>
      <c r="J5" s="306"/>
    </row>
    <row r="6" spans="1:10" ht="15">
      <c r="A6" s="294"/>
      <c r="B6" s="294"/>
      <c r="C6" s="299"/>
      <c r="D6" s="295"/>
      <c r="E6" s="303"/>
      <c r="F6" s="303"/>
      <c r="G6" s="305"/>
      <c r="H6" s="301"/>
      <c r="I6" s="48" t="s">
        <v>119</v>
      </c>
      <c r="J6" s="89" t="s">
        <v>120</v>
      </c>
    </row>
    <row r="7" spans="1:10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15" hidden="1">
      <c r="A8" s="12"/>
      <c r="B8" s="11"/>
      <c r="C8" s="11"/>
      <c r="D8" s="30"/>
      <c r="E8" s="27"/>
      <c r="F8" s="31"/>
      <c r="G8" s="27"/>
      <c r="H8" s="27"/>
      <c r="I8" s="27"/>
      <c r="J8" s="27"/>
    </row>
    <row r="9" spans="1:10" ht="15">
      <c r="A9" s="13" t="s">
        <v>121</v>
      </c>
      <c r="B9" s="14">
        <v>100</v>
      </c>
      <c r="C9" s="11"/>
      <c r="D9" s="29">
        <f>E9+F9+G9+I9</f>
        <v>17515560.630000003</v>
      </c>
      <c r="E9" s="27">
        <f>E12</f>
        <v>16065680.63</v>
      </c>
      <c r="F9" s="27">
        <f>F25</f>
        <v>150400</v>
      </c>
      <c r="G9" s="27">
        <f>G25</f>
        <v>0</v>
      </c>
      <c r="H9" s="11" t="s">
        <v>28</v>
      </c>
      <c r="I9" s="27">
        <f>I11+I12+I23+I24+I26+I27</f>
        <v>1299480</v>
      </c>
      <c r="J9" s="27">
        <f>J12+J26</f>
        <v>0</v>
      </c>
    </row>
    <row r="10" spans="1:10" ht="12" customHeight="1">
      <c r="A10" s="255" t="s">
        <v>26</v>
      </c>
      <c r="B10" s="11"/>
      <c r="C10" s="11"/>
      <c r="D10" s="30"/>
      <c r="E10" s="27"/>
      <c r="F10" s="27"/>
      <c r="G10" s="27"/>
      <c r="H10" s="11"/>
      <c r="I10" s="27"/>
      <c r="J10" s="27"/>
    </row>
    <row r="11" spans="1:10" ht="17.25" customHeight="1">
      <c r="A11" s="257" t="s">
        <v>38</v>
      </c>
      <c r="B11" s="11">
        <v>110</v>
      </c>
      <c r="C11" s="11">
        <v>120</v>
      </c>
      <c r="D11" s="31">
        <f>I11</f>
        <v>0</v>
      </c>
      <c r="E11" s="11" t="s">
        <v>28</v>
      </c>
      <c r="F11" s="11" t="s">
        <v>28</v>
      </c>
      <c r="G11" s="11" t="s">
        <v>28</v>
      </c>
      <c r="H11" s="11" t="s">
        <v>28</v>
      </c>
      <c r="I11" s="27"/>
      <c r="J11" s="11" t="s">
        <v>28</v>
      </c>
    </row>
    <row r="12" spans="1:10" ht="25.5">
      <c r="A12" s="257" t="s">
        <v>155</v>
      </c>
      <c r="B12" s="11">
        <v>120</v>
      </c>
      <c r="C12" s="11">
        <v>130</v>
      </c>
      <c r="D12" s="30">
        <f>SUM(D14:D21)</f>
        <v>16595680.63</v>
      </c>
      <c r="E12" s="30">
        <f>SUM(E14)</f>
        <v>16065680.63</v>
      </c>
      <c r="F12" s="11" t="s">
        <v>28</v>
      </c>
      <c r="G12" s="11" t="s">
        <v>28</v>
      </c>
      <c r="H12" s="11" t="s">
        <v>28</v>
      </c>
      <c r="I12" s="30">
        <f>SUM(I14:I21)</f>
        <v>530000</v>
      </c>
      <c r="J12" s="30">
        <f>SUM(J14:J16)</f>
        <v>0</v>
      </c>
    </row>
    <row r="13" spans="1:10" ht="15">
      <c r="A13" s="254" t="s">
        <v>26</v>
      </c>
      <c r="B13" s="11"/>
      <c r="C13" s="11"/>
      <c r="D13" s="30"/>
      <c r="E13" s="46"/>
      <c r="F13" s="27"/>
      <c r="G13" s="27"/>
      <c r="H13" s="11"/>
      <c r="I13" s="27"/>
      <c r="J13" s="27"/>
    </row>
    <row r="14" spans="1:10" ht="15">
      <c r="A14" s="258" t="s">
        <v>230</v>
      </c>
      <c r="B14" s="11">
        <v>1201</v>
      </c>
      <c r="C14" s="11"/>
      <c r="D14" s="30">
        <f>E14+I14</f>
        <v>16065680.63</v>
      </c>
      <c r="E14" s="46">
        <v>16065680.63</v>
      </c>
      <c r="F14" s="11" t="s">
        <v>28</v>
      </c>
      <c r="G14" s="11" t="s">
        <v>28</v>
      </c>
      <c r="H14" s="11" t="s">
        <v>28</v>
      </c>
      <c r="I14" s="27"/>
      <c r="J14" s="27"/>
    </row>
    <row r="15" spans="1:10" ht="15">
      <c r="A15" s="254" t="s">
        <v>229</v>
      </c>
      <c r="B15" s="11">
        <v>1202</v>
      </c>
      <c r="C15" s="11"/>
      <c r="D15" s="30">
        <f>I15</f>
        <v>530000</v>
      </c>
      <c r="E15" s="11" t="s">
        <v>28</v>
      </c>
      <c r="F15" s="11" t="s">
        <v>28</v>
      </c>
      <c r="G15" s="11" t="s">
        <v>28</v>
      </c>
      <c r="H15" s="11" t="s">
        <v>28</v>
      </c>
      <c r="I15" s="27">
        <v>530000</v>
      </c>
      <c r="J15" s="11" t="s">
        <v>28</v>
      </c>
    </row>
    <row r="16" spans="1:10" ht="15" customHeight="1" hidden="1">
      <c r="A16" s="254"/>
      <c r="B16" s="11">
        <v>1203</v>
      </c>
      <c r="C16" s="11"/>
      <c r="D16" s="31">
        <f>I16</f>
        <v>0</v>
      </c>
      <c r="E16" s="11" t="s">
        <v>28</v>
      </c>
      <c r="F16" s="11" t="s">
        <v>28</v>
      </c>
      <c r="G16" s="11" t="s">
        <v>28</v>
      </c>
      <c r="H16" s="11" t="s">
        <v>28</v>
      </c>
      <c r="I16" s="27"/>
      <c r="J16" s="11" t="s">
        <v>28</v>
      </c>
    </row>
    <row r="17" spans="1:10" ht="15" customHeight="1" hidden="1">
      <c r="A17" s="254"/>
      <c r="B17" s="11">
        <v>1204</v>
      </c>
      <c r="C17" s="11"/>
      <c r="D17" s="31">
        <f>I17</f>
        <v>0</v>
      </c>
      <c r="E17" s="11" t="s">
        <v>28</v>
      </c>
      <c r="F17" s="11" t="s">
        <v>28</v>
      </c>
      <c r="G17" s="11" t="s">
        <v>28</v>
      </c>
      <c r="H17" s="11" t="s">
        <v>28</v>
      </c>
      <c r="I17" s="27"/>
      <c r="J17" s="11" t="s">
        <v>28</v>
      </c>
    </row>
    <row r="18" spans="1:10" ht="18.75" customHeight="1" hidden="1">
      <c r="A18" s="254"/>
      <c r="B18" s="11">
        <v>1205</v>
      </c>
      <c r="C18" s="11"/>
      <c r="D18" s="31">
        <f>I18</f>
        <v>0</v>
      </c>
      <c r="E18" s="11" t="s">
        <v>28</v>
      </c>
      <c r="F18" s="11" t="s">
        <v>28</v>
      </c>
      <c r="G18" s="11" t="s">
        <v>28</v>
      </c>
      <c r="H18" s="11" t="s">
        <v>28</v>
      </c>
      <c r="I18" s="27"/>
      <c r="J18" s="11" t="s">
        <v>28</v>
      </c>
    </row>
    <row r="19" spans="1:10" ht="15" customHeight="1" hidden="1">
      <c r="A19" s="254"/>
      <c r="B19" s="11">
        <v>1206</v>
      </c>
      <c r="C19" s="11"/>
      <c r="D19" s="31">
        <f>I19</f>
        <v>0</v>
      </c>
      <c r="E19" s="11" t="s">
        <v>28</v>
      </c>
      <c r="F19" s="11" t="s">
        <v>28</v>
      </c>
      <c r="G19" s="11" t="s">
        <v>28</v>
      </c>
      <c r="H19" s="11" t="s">
        <v>28</v>
      </c>
      <c r="I19" s="27"/>
      <c r="J19" s="11" t="s">
        <v>28</v>
      </c>
    </row>
    <row r="20" spans="1:10" ht="15" customHeight="1" hidden="1">
      <c r="A20" s="254"/>
      <c r="B20" s="11">
        <v>1207</v>
      </c>
      <c r="C20" s="11"/>
      <c r="D20" s="30">
        <f>E20+I20</f>
        <v>0</v>
      </c>
      <c r="E20" s="46"/>
      <c r="F20" s="11" t="s">
        <v>28</v>
      </c>
      <c r="G20" s="11" t="s">
        <v>28</v>
      </c>
      <c r="H20" s="11" t="s">
        <v>28</v>
      </c>
      <c r="I20" s="27"/>
      <c r="J20" s="27"/>
    </row>
    <row r="21" spans="1:10" ht="15" hidden="1">
      <c r="A21" s="254"/>
      <c r="B21" s="11">
        <v>1208</v>
      </c>
      <c r="C21" s="11"/>
      <c r="D21" s="30">
        <f>E21+I21</f>
        <v>0</v>
      </c>
      <c r="E21" s="46"/>
      <c r="F21" s="11" t="s">
        <v>28</v>
      </c>
      <c r="G21" s="11" t="s">
        <v>28</v>
      </c>
      <c r="H21" s="11" t="s">
        <v>28</v>
      </c>
      <c r="I21" s="27"/>
      <c r="J21" s="27"/>
    </row>
    <row r="22" spans="1:10" ht="15">
      <c r="A22" s="70" t="s">
        <v>27</v>
      </c>
      <c r="B22" s="88"/>
      <c r="C22" s="11"/>
      <c r="D22" s="30"/>
      <c r="E22" s="46"/>
      <c r="F22" s="27"/>
      <c r="G22" s="27"/>
      <c r="H22" s="11" t="s">
        <v>28</v>
      </c>
      <c r="I22" s="27"/>
      <c r="J22" s="27"/>
    </row>
    <row r="23" spans="1:10" ht="15">
      <c r="A23" s="257" t="s">
        <v>42</v>
      </c>
      <c r="B23" s="11">
        <v>130</v>
      </c>
      <c r="C23" s="11">
        <v>140</v>
      </c>
      <c r="D23" s="31">
        <f>I23</f>
        <v>0</v>
      </c>
      <c r="E23" s="11" t="s">
        <v>28</v>
      </c>
      <c r="F23" s="11" t="s">
        <v>28</v>
      </c>
      <c r="G23" s="11" t="s">
        <v>28</v>
      </c>
      <c r="H23" s="11" t="s">
        <v>28</v>
      </c>
      <c r="I23" s="27"/>
      <c r="J23" s="11" t="s">
        <v>28</v>
      </c>
    </row>
    <row r="24" spans="1:10" ht="25.5">
      <c r="A24" s="254" t="s">
        <v>122</v>
      </c>
      <c r="B24" s="11">
        <v>140</v>
      </c>
      <c r="C24" s="11">
        <v>152</v>
      </c>
      <c r="D24" s="31">
        <f>I24</f>
        <v>0</v>
      </c>
      <c r="E24" s="11" t="s">
        <v>28</v>
      </c>
      <c r="F24" s="11" t="s">
        <v>28</v>
      </c>
      <c r="G24" s="11" t="s">
        <v>28</v>
      </c>
      <c r="H24" s="11" t="s">
        <v>28</v>
      </c>
      <c r="I24" s="27"/>
      <c r="J24" s="11" t="s">
        <v>28</v>
      </c>
    </row>
    <row r="25" spans="1:10" ht="15">
      <c r="A25" s="254" t="s">
        <v>123</v>
      </c>
      <c r="B25" s="11">
        <v>150</v>
      </c>
      <c r="C25" s="11">
        <v>180</v>
      </c>
      <c r="D25" s="30">
        <f>F25+G25</f>
        <v>150400</v>
      </c>
      <c r="E25" s="11" t="s">
        <v>28</v>
      </c>
      <c r="F25" s="27">
        <v>150400</v>
      </c>
      <c r="G25" s="27"/>
      <c r="H25" s="11" t="s">
        <v>28</v>
      </c>
      <c r="I25" s="11" t="s">
        <v>28</v>
      </c>
      <c r="J25" s="11" t="s">
        <v>28</v>
      </c>
    </row>
    <row r="26" spans="1:10" ht="15">
      <c r="A26" s="254" t="s">
        <v>124</v>
      </c>
      <c r="B26" s="11">
        <v>160</v>
      </c>
      <c r="C26" s="11">
        <v>180</v>
      </c>
      <c r="D26" s="30">
        <f>I26</f>
        <v>769480</v>
      </c>
      <c r="E26" s="11" t="s">
        <v>28</v>
      </c>
      <c r="F26" s="11" t="s">
        <v>28</v>
      </c>
      <c r="G26" s="11" t="s">
        <v>28</v>
      </c>
      <c r="H26" s="11" t="s">
        <v>28</v>
      </c>
      <c r="I26" s="27">
        <v>769480</v>
      </c>
      <c r="J26" s="27"/>
    </row>
    <row r="27" spans="1:10" ht="15">
      <c r="A27" s="257" t="s">
        <v>125</v>
      </c>
      <c r="B27" s="88">
        <v>180</v>
      </c>
      <c r="C27" s="11" t="s">
        <v>28</v>
      </c>
      <c r="D27" s="31">
        <f>SUM(D29:D31)</f>
        <v>0</v>
      </c>
      <c r="E27" s="11" t="s">
        <v>28</v>
      </c>
      <c r="F27" s="11" t="s">
        <v>28</v>
      </c>
      <c r="G27" s="11" t="s">
        <v>28</v>
      </c>
      <c r="H27" s="11" t="s">
        <v>28</v>
      </c>
      <c r="I27" s="31">
        <f>SUM(I29:I31)</f>
        <v>0</v>
      </c>
      <c r="J27" s="11" t="s">
        <v>28</v>
      </c>
    </row>
    <row r="28" spans="1:10" ht="15">
      <c r="A28" s="254" t="s">
        <v>26</v>
      </c>
      <c r="B28" s="11"/>
      <c r="C28" s="11"/>
      <c r="D28" s="30">
        <f>E28+F28+G28</f>
        <v>0</v>
      </c>
      <c r="E28" s="27"/>
      <c r="F28" s="27"/>
      <c r="G28" s="27"/>
      <c r="H28" s="11"/>
      <c r="I28" s="27"/>
      <c r="J28" s="27"/>
    </row>
    <row r="29" spans="1:10" ht="15">
      <c r="A29" s="254" t="s">
        <v>156</v>
      </c>
      <c r="B29" s="11">
        <v>1801</v>
      </c>
      <c r="C29" s="11">
        <v>440</v>
      </c>
      <c r="D29" s="31">
        <f>I29</f>
        <v>0</v>
      </c>
      <c r="E29" s="11" t="s">
        <v>28</v>
      </c>
      <c r="F29" s="11" t="s">
        <v>28</v>
      </c>
      <c r="G29" s="11" t="s">
        <v>28</v>
      </c>
      <c r="H29" s="11" t="s">
        <v>28</v>
      </c>
      <c r="I29" s="27"/>
      <c r="J29" s="11" t="s">
        <v>28</v>
      </c>
    </row>
    <row r="30" spans="1:10" ht="15" customHeight="1" hidden="1">
      <c r="A30" s="12"/>
      <c r="B30" s="11">
        <v>1802</v>
      </c>
      <c r="C30" s="88"/>
      <c r="D30" s="31">
        <f>I30</f>
        <v>0</v>
      </c>
      <c r="E30" s="11" t="s">
        <v>28</v>
      </c>
      <c r="F30" s="11" t="s">
        <v>28</v>
      </c>
      <c r="G30" s="11" t="s">
        <v>28</v>
      </c>
      <c r="H30" s="11" t="s">
        <v>28</v>
      </c>
      <c r="I30" s="27"/>
      <c r="J30" s="11" t="s">
        <v>28</v>
      </c>
    </row>
    <row r="31" spans="1:10" ht="15" customHeight="1" hidden="1">
      <c r="A31" s="12"/>
      <c r="B31" s="11">
        <v>1803</v>
      </c>
      <c r="C31" s="11"/>
      <c r="D31" s="31">
        <f>I31</f>
        <v>0</v>
      </c>
      <c r="E31" s="11" t="s">
        <v>28</v>
      </c>
      <c r="F31" s="11" t="s">
        <v>28</v>
      </c>
      <c r="G31" s="11" t="s">
        <v>28</v>
      </c>
      <c r="H31" s="11" t="s">
        <v>28</v>
      </c>
      <c r="I31" s="27"/>
      <c r="J31" s="11" t="s">
        <v>28</v>
      </c>
    </row>
    <row r="32" spans="1:10" ht="15">
      <c r="A32" s="77" t="s">
        <v>126</v>
      </c>
      <c r="B32" s="74">
        <v>200</v>
      </c>
      <c r="C32" s="14"/>
      <c r="D32" s="28">
        <f>D52+D55+D59+D63+D64+D65+D66</f>
        <v>17515560.630000003</v>
      </c>
      <c r="E32" s="28">
        <f>E52+E55+E59+E63+E64+E65+E66</f>
        <v>16065680.63</v>
      </c>
      <c r="F32" s="28">
        <f>F52+F55+F59+F63+F64+F65+F66</f>
        <v>150400</v>
      </c>
      <c r="G32" s="28">
        <f>G52+G55+G59+G63+G64+G65+G66</f>
        <v>0</v>
      </c>
      <c r="H32" s="11" t="s">
        <v>28</v>
      </c>
      <c r="I32" s="28">
        <f>I52+I55+I59+I63+I64+I65+I66</f>
        <v>1299480</v>
      </c>
      <c r="J32" s="28">
        <f>J52+J55+J59+J63+J64+J65+J66</f>
        <v>0</v>
      </c>
    </row>
    <row r="33" spans="1:10" ht="15">
      <c r="A33" s="76" t="s">
        <v>127</v>
      </c>
      <c r="D33" s="30"/>
      <c r="E33" s="30"/>
      <c r="F33" s="30"/>
      <c r="G33" s="28"/>
      <c r="H33" s="11" t="s">
        <v>28</v>
      </c>
      <c r="I33" s="28"/>
      <c r="J33" s="28"/>
    </row>
    <row r="34" spans="1:10" ht="15">
      <c r="A34" s="26" t="s">
        <v>440</v>
      </c>
      <c r="B34" s="14"/>
      <c r="C34" s="30"/>
      <c r="D34" s="28">
        <f>E34+F34+G34+I34</f>
        <v>11461012.63</v>
      </c>
      <c r="E34" s="46">
        <v>11461012.63</v>
      </c>
      <c r="F34" s="27"/>
      <c r="G34" s="27"/>
      <c r="H34" s="11" t="s">
        <v>28</v>
      </c>
      <c r="I34" s="27"/>
      <c r="J34" s="28"/>
    </row>
    <row r="35" spans="1:10" ht="15" hidden="1">
      <c r="A35" s="26" t="s">
        <v>441</v>
      </c>
      <c r="B35" s="14"/>
      <c r="C35" s="30"/>
      <c r="D35" s="28"/>
      <c r="E35" s="46"/>
      <c r="F35" s="27"/>
      <c r="G35" s="27"/>
      <c r="H35" s="11"/>
      <c r="I35" s="27"/>
      <c r="J35" s="28"/>
    </row>
    <row r="36" spans="1:10" ht="15">
      <c r="A36" s="26" t="s">
        <v>444</v>
      </c>
      <c r="B36" s="14"/>
      <c r="C36" s="30"/>
      <c r="D36" s="28">
        <f aca="true" t="shared" si="0" ref="D36:D43">E36+F36+G36+I36</f>
        <v>230235</v>
      </c>
      <c r="E36" s="46">
        <v>230235</v>
      </c>
      <c r="F36" s="27"/>
      <c r="G36" s="27"/>
      <c r="H36" s="11" t="s">
        <v>28</v>
      </c>
      <c r="I36" s="27"/>
      <c r="J36" s="28"/>
    </row>
    <row r="37" spans="1:10" ht="15">
      <c r="A37" s="26" t="s">
        <v>445</v>
      </c>
      <c r="B37" s="14"/>
      <c r="C37" s="30"/>
      <c r="D37" s="28">
        <f t="shared" si="0"/>
        <v>4374433</v>
      </c>
      <c r="E37" s="46">
        <v>4374433</v>
      </c>
      <c r="F37" s="27"/>
      <c r="G37" s="27"/>
      <c r="H37" s="11" t="s">
        <v>28</v>
      </c>
      <c r="I37" s="27"/>
      <c r="J37" s="28"/>
    </row>
    <row r="38" spans="1:10" ht="15" hidden="1">
      <c r="A38" s="196" t="s">
        <v>442</v>
      </c>
      <c r="B38" s="14"/>
      <c r="C38" s="30"/>
      <c r="D38" s="28"/>
      <c r="E38" s="46"/>
      <c r="F38" s="27"/>
      <c r="G38" s="27"/>
      <c r="H38" s="11"/>
      <c r="I38" s="27"/>
      <c r="J38" s="28"/>
    </row>
    <row r="39" spans="1:10" ht="15" hidden="1">
      <c r="A39" s="196" t="s">
        <v>443</v>
      </c>
      <c r="B39" s="14"/>
      <c r="C39" s="30"/>
      <c r="D39" s="28"/>
      <c r="E39" s="46"/>
      <c r="F39" s="27"/>
      <c r="G39" s="27"/>
      <c r="H39" s="11"/>
      <c r="I39" s="27"/>
      <c r="J39" s="28"/>
    </row>
    <row r="40" spans="1:10" ht="15">
      <c r="A40" s="26" t="s">
        <v>223</v>
      </c>
      <c r="B40" s="14"/>
      <c r="C40" s="30"/>
      <c r="D40" s="28">
        <f t="shared" si="0"/>
        <v>56400</v>
      </c>
      <c r="E40" s="27"/>
      <c r="F40" s="27">
        <v>56400</v>
      </c>
      <c r="G40" s="27"/>
      <c r="H40" s="11" t="s">
        <v>28</v>
      </c>
      <c r="I40" s="27"/>
      <c r="J40" s="28"/>
    </row>
    <row r="41" spans="1:10" ht="15">
      <c r="A41" s="26" t="s">
        <v>224</v>
      </c>
      <c r="B41" s="14"/>
      <c r="C41" s="30"/>
      <c r="D41" s="28">
        <f t="shared" si="0"/>
        <v>94000</v>
      </c>
      <c r="E41" s="27"/>
      <c r="F41" s="27">
        <v>94000</v>
      </c>
      <c r="G41" s="27"/>
      <c r="H41" s="11" t="s">
        <v>28</v>
      </c>
      <c r="I41" s="27"/>
      <c r="J41" s="28"/>
    </row>
    <row r="42" spans="1:10" ht="15" customHeight="1" hidden="1">
      <c r="A42" s="26" t="s">
        <v>225</v>
      </c>
      <c r="B42" s="14"/>
      <c r="C42" s="30"/>
      <c r="D42" s="28">
        <f t="shared" si="0"/>
        <v>0</v>
      </c>
      <c r="E42" s="27"/>
      <c r="F42" s="27"/>
      <c r="G42" s="27"/>
      <c r="H42" s="11" t="s">
        <v>28</v>
      </c>
      <c r="I42" s="27"/>
      <c r="J42" s="28"/>
    </row>
    <row r="43" spans="1:10" ht="15" customHeight="1" hidden="1">
      <c r="A43" s="26" t="s">
        <v>226</v>
      </c>
      <c r="B43" s="14"/>
      <c r="C43" s="30"/>
      <c r="D43" s="28">
        <f t="shared" si="0"/>
        <v>0</v>
      </c>
      <c r="E43" s="27"/>
      <c r="F43" s="27"/>
      <c r="G43" s="27"/>
      <c r="H43" s="11" t="s">
        <v>28</v>
      </c>
      <c r="I43" s="27"/>
      <c r="J43" s="28"/>
    </row>
    <row r="44" spans="1:10" ht="15" customHeight="1" hidden="1">
      <c r="A44" s="26"/>
      <c r="B44" s="14"/>
      <c r="C44" s="30"/>
      <c r="D44" s="28"/>
      <c r="E44" s="27"/>
      <c r="F44" s="27">
        <f>SUM(F34:F43)-F32</f>
        <v>0</v>
      </c>
      <c r="G44" s="27"/>
      <c r="H44" s="11" t="s">
        <v>28</v>
      </c>
      <c r="I44" s="27"/>
      <c r="J44" s="28"/>
    </row>
    <row r="45" spans="1:10" ht="15" customHeight="1" hidden="1">
      <c r="A45" s="26"/>
      <c r="B45" s="14"/>
      <c r="C45" s="30"/>
      <c r="D45" s="28"/>
      <c r="E45" s="27"/>
      <c r="F45" s="27"/>
      <c r="G45" s="27"/>
      <c r="H45" s="11" t="s">
        <v>28</v>
      </c>
      <c r="I45" s="27"/>
      <c r="J45" s="28"/>
    </row>
    <row r="46" spans="1:10" ht="15" customHeight="1" hidden="1">
      <c r="A46" s="26"/>
      <c r="B46" s="14"/>
      <c r="C46" s="30"/>
      <c r="D46" s="28"/>
      <c r="E46" s="27"/>
      <c r="F46" s="27"/>
      <c r="G46" s="27"/>
      <c r="H46" s="11" t="s">
        <v>28</v>
      </c>
      <c r="I46" s="27"/>
      <c r="J46" s="28"/>
    </row>
    <row r="47" spans="1:10" ht="15" customHeight="1" hidden="1">
      <c r="A47" s="26"/>
      <c r="B47" s="14"/>
      <c r="C47" s="30"/>
      <c r="D47" s="28"/>
      <c r="E47" s="27"/>
      <c r="F47" s="27"/>
      <c r="G47" s="27"/>
      <c r="H47" s="11" t="s">
        <v>28</v>
      </c>
      <c r="I47" s="27"/>
      <c r="J47" s="28"/>
    </row>
    <row r="48" spans="1:10" ht="15" customHeight="1" hidden="1">
      <c r="A48" s="26"/>
      <c r="B48" s="14"/>
      <c r="C48" s="30"/>
      <c r="D48" s="28"/>
      <c r="E48" s="27"/>
      <c r="F48" s="27"/>
      <c r="G48" s="27"/>
      <c r="H48" s="11" t="s">
        <v>28</v>
      </c>
      <c r="I48" s="27"/>
      <c r="J48" s="28"/>
    </row>
    <row r="49" spans="1:10" ht="15" customHeight="1" hidden="1">
      <c r="A49" s="26"/>
      <c r="B49" s="14"/>
      <c r="C49" s="30"/>
      <c r="D49" s="28"/>
      <c r="E49" s="27"/>
      <c r="F49" s="27"/>
      <c r="G49" s="27"/>
      <c r="H49" s="11" t="s">
        <v>28</v>
      </c>
      <c r="I49" s="27"/>
      <c r="J49" s="28"/>
    </row>
    <row r="50" spans="1:10" ht="15">
      <c r="A50" s="26" t="s">
        <v>731</v>
      </c>
      <c r="B50" s="14"/>
      <c r="C50" s="124"/>
      <c r="D50" s="28">
        <f>E50+F50+G50+I50</f>
        <v>1299480</v>
      </c>
      <c r="E50" s="27"/>
      <c r="F50" s="27"/>
      <c r="G50" s="27"/>
      <c r="H50" s="11" t="s">
        <v>28</v>
      </c>
      <c r="I50" s="27">
        <v>1299480</v>
      </c>
      <c r="J50" s="28"/>
    </row>
    <row r="51" spans="1:10" ht="15">
      <c r="A51" s="12" t="s">
        <v>21</v>
      </c>
      <c r="B51" s="11"/>
      <c r="C51" s="32">
        <f>SUM(C36:C50)</f>
        <v>0</v>
      </c>
      <c r="D51" s="32">
        <f aca="true" t="shared" si="1" ref="D51:J51">SUM(D34:D50)</f>
        <v>17515560.630000003</v>
      </c>
      <c r="E51" s="32">
        <f t="shared" si="1"/>
        <v>16065680.63</v>
      </c>
      <c r="F51" s="32">
        <f t="shared" si="1"/>
        <v>150400</v>
      </c>
      <c r="G51" s="32">
        <f t="shared" si="1"/>
        <v>0</v>
      </c>
      <c r="H51" s="32">
        <f t="shared" si="1"/>
        <v>0</v>
      </c>
      <c r="I51" s="32">
        <f t="shared" si="1"/>
        <v>1299480</v>
      </c>
      <c r="J51" s="32">
        <f t="shared" si="1"/>
        <v>0</v>
      </c>
    </row>
    <row r="52" spans="1:10" ht="15">
      <c r="A52" s="12" t="s">
        <v>128</v>
      </c>
      <c r="B52" s="17">
        <v>210</v>
      </c>
      <c r="C52" s="17">
        <v>110</v>
      </c>
      <c r="D52" s="30">
        <f>E52+F52+G52+I52</f>
        <v>16845576.630000003</v>
      </c>
      <c r="E52" s="27">
        <v>16065680.63</v>
      </c>
      <c r="F52" s="27"/>
      <c r="G52" s="27"/>
      <c r="H52" s="11" t="s">
        <v>28</v>
      </c>
      <c r="I52" s="27">
        <f>10416+769480</f>
        <v>779896</v>
      </c>
      <c r="J52" s="27"/>
    </row>
    <row r="53" spans="1:10" ht="9.75" customHeight="1">
      <c r="A53" s="70" t="s">
        <v>21</v>
      </c>
      <c r="B53" s="17"/>
      <c r="C53" s="17"/>
      <c r="D53" s="30"/>
      <c r="E53" s="27"/>
      <c r="F53" s="27"/>
      <c r="G53" s="27"/>
      <c r="H53" s="11" t="s">
        <v>28</v>
      </c>
      <c r="I53" s="27"/>
      <c r="J53" s="27"/>
    </row>
    <row r="54" spans="1:10" ht="15">
      <c r="A54" s="12" t="s">
        <v>129</v>
      </c>
      <c r="B54" s="17">
        <v>211</v>
      </c>
      <c r="C54" s="17">
        <v>110</v>
      </c>
      <c r="D54" s="30">
        <f>E54+F54+G54+I54</f>
        <v>16076096.63</v>
      </c>
      <c r="E54" s="27">
        <v>16065680.63</v>
      </c>
      <c r="F54" s="27"/>
      <c r="G54" s="27"/>
      <c r="H54" s="11" t="s">
        <v>28</v>
      </c>
      <c r="I54" s="27">
        <f>10416</f>
        <v>10416</v>
      </c>
      <c r="J54" s="27"/>
    </row>
    <row r="55" spans="1:10" ht="15">
      <c r="A55" s="12" t="s">
        <v>130</v>
      </c>
      <c r="B55" s="17">
        <v>220</v>
      </c>
      <c r="C55" s="17">
        <v>321</v>
      </c>
      <c r="D55" s="30">
        <f>E55+F55+G55+I55</f>
        <v>0</v>
      </c>
      <c r="E55" s="27">
        <f>E57</f>
        <v>0</v>
      </c>
      <c r="F55" s="27"/>
      <c r="G55" s="27"/>
      <c r="H55" s="11" t="s">
        <v>28</v>
      </c>
      <c r="I55" s="27"/>
      <c r="J55" s="27"/>
    </row>
    <row r="56" spans="1:10" ht="10.5" customHeight="1">
      <c r="A56" s="12" t="s">
        <v>21</v>
      </c>
      <c r="B56" s="17"/>
      <c r="C56" s="17"/>
      <c r="D56" s="30"/>
      <c r="E56" s="27"/>
      <c r="F56" s="27"/>
      <c r="G56" s="27"/>
      <c r="H56" s="11" t="s">
        <v>28</v>
      </c>
      <c r="I56" s="27"/>
      <c r="J56" s="27"/>
    </row>
    <row r="57" spans="1:10" ht="25.5">
      <c r="A57" s="256" t="s">
        <v>235</v>
      </c>
      <c r="B57" s="134"/>
      <c r="C57" s="17"/>
      <c r="D57" s="30">
        <f>E57+F57+G57+I57</f>
        <v>0</v>
      </c>
      <c r="E57" s="27"/>
      <c r="F57" s="27"/>
      <c r="G57" s="27"/>
      <c r="H57" s="11" t="s">
        <v>28</v>
      </c>
      <c r="I57" s="27"/>
      <c r="J57" s="27"/>
    </row>
    <row r="58" spans="1:10" ht="15" hidden="1">
      <c r="A58" s="12"/>
      <c r="B58" s="17"/>
      <c r="C58" s="17"/>
      <c r="D58" s="30">
        <f>E58+F58+G58</f>
        <v>0</v>
      </c>
      <c r="E58" s="27"/>
      <c r="F58" s="27"/>
      <c r="G58" s="27"/>
      <c r="H58" s="11" t="s">
        <v>28</v>
      </c>
      <c r="I58" s="27"/>
      <c r="J58" s="27"/>
    </row>
    <row r="59" spans="1:10" ht="15">
      <c r="A59" s="12" t="s">
        <v>131</v>
      </c>
      <c r="B59" s="17">
        <v>230</v>
      </c>
      <c r="C59" s="17">
        <v>850</v>
      </c>
      <c r="D59" s="30">
        <f>E59+F59+G59+I59</f>
        <v>6000</v>
      </c>
      <c r="E59" s="27">
        <f>SUM(E61:E62)</f>
        <v>0</v>
      </c>
      <c r="F59" s="27"/>
      <c r="G59" s="27"/>
      <c r="H59" s="11" t="s">
        <v>28</v>
      </c>
      <c r="I59" s="27">
        <f>SUM(I61:I62)</f>
        <v>6000</v>
      </c>
      <c r="J59" s="27"/>
    </row>
    <row r="60" spans="1:10" ht="10.5" customHeight="1">
      <c r="A60" s="12" t="s">
        <v>21</v>
      </c>
      <c r="B60" s="17"/>
      <c r="C60" s="17"/>
      <c r="D60" s="30"/>
      <c r="E60" s="27"/>
      <c r="F60" s="27"/>
      <c r="G60" s="27"/>
      <c r="H60" s="11" t="s">
        <v>28</v>
      </c>
      <c r="I60" s="27"/>
      <c r="J60" s="27"/>
    </row>
    <row r="61" spans="1:10" ht="15">
      <c r="A61" s="125" t="s">
        <v>227</v>
      </c>
      <c r="B61" s="17"/>
      <c r="C61" s="17">
        <v>852</v>
      </c>
      <c r="D61" s="30">
        <f aca="true" t="shared" si="2" ref="D61:D66">E61+F61+G61+I61</f>
        <v>6000</v>
      </c>
      <c r="E61" s="27"/>
      <c r="F61" s="27"/>
      <c r="G61" s="27"/>
      <c r="H61" s="11" t="s">
        <v>28</v>
      </c>
      <c r="I61" s="27">
        <v>6000</v>
      </c>
      <c r="J61" s="27"/>
    </row>
    <row r="62" spans="1:10" ht="15">
      <c r="A62" s="25" t="s">
        <v>228</v>
      </c>
      <c r="B62" s="17"/>
      <c r="C62" s="17">
        <v>853</v>
      </c>
      <c r="D62" s="30">
        <f t="shared" si="2"/>
        <v>0</v>
      </c>
      <c r="E62" s="27"/>
      <c r="F62" s="27"/>
      <c r="G62" s="27"/>
      <c r="H62" s="11" t="s">
        <v>28</v>
      </c>
      <c r="I62" s="27"/>
      <c r="J62" s="27"/>
    </row>
    <row r="63" spans="1:10" ht="15">
      <c r="A63" s="73" t="s">
        <v>132</v>
      </c>
      <c r="B63" s="71">
        <v>240</v>
      </c>
      <c r="C63" s="246" t="s">
        <v>716</v>
      </c>
      <c r="D63" s="30">
        <f t="shared" si="2"/>
        <v>0</v>
      </c>
      <c r="E63" s="27"/>
      <c r="F63" s="27"/>
      <c r="G63" s="27"/>
      <c r="H63" s="11" t="s">
        <v>28</v>
      </c>
      <c r="I63" s="27"/>
      <c r="J63" s="27"/>
    </row>
    <row r="64" spans="1:10" ht="15">
      <c r="A64" s="72" t="s">
        <v>133</v>
      </c>
      <c r="B64" s="17">
        <v>250</v>
      </c>
      <c r="C64" s="17">
        <v>113</v>
      </c>
      <c r="D64" s="30">
        <f t="shared" si="2"/>
        <v>0</v>
      </c>
      <c r="E64" s="27"/>
      <c r="F64" s="27"/>
      <c r="G64" s="27"/>
      <c r="H64" s="11" t="s">
        <v>28</v>
      </c>
      <c r="I64" s="27"/>
      <c r="J64" s="27"/>
    </row>
    <row r="65" spans="1:10" ht="15">
      <c r="A65" s="12" t="s">
        <v>134</v>
      </c>
      <c r="B65" s="17">
        <v>260</v>
      </c>
      <c r="C65" s="11" t="s">
        <v>28</v>
      </c>
      <c r="D65" s="30">
        <f t="shared" si="2"/>
        <v>663984</v>
      </c>
      <c r="E65" s="132">
        <f>E9+E74-E52-E55-E59-E64</f>
        <v>0</v>
      </c>
      <c r="F65" s="132">
        <f>F9+F74-F52-F59-F64</f>
        <v>150400</v>
      </c>
      <c r="G65" s="27"/>
      <c r="H65" s="11" t="s">
        <v>28</v>
      </c>
      <c r="I65" s="132">
        <f>I9+I74-I52-I55-I59-I64</f>
        <v>513584</v>
      </c>
      <c r="J65" s="27"/>
    </row>
    <row r="66" spans="1:10" ht="15">
      <c r="A66" s="90" t="s">
        <v>135</v>
      </c>
      <c r="B66" s="93">
        <v>300</v>
      </c>
      <c r="C66" s="16"/>
      <c r="D66" s="30">
        <f t="shared" si="2"/>
        <v>0</v>
      </c>
      <c r="E66" s="27"/>
      <c r="F66" s="27"/>
      <c r="G66" s="27"/>
      <c r="H66" s="11" t="s">
        <v>28</v>
      </c>
      <c r="I66" s="27"/>
      <c r="J66" s="27"/>
    </row>
    <row r="67" spans="1:10" ht="9" customHeight="1">
      <c r="A67" s="68" t="s">
        <v>21</v>
      </c>
      <c r="B67" s="94"/>
      <c r="C67" s="11"/>
      <c r="D67" s="30"/>
      <c r="E67" s="27"/>
      <c r="F67" s="27"/>
      <c r="G67" s="27"/>
      <c r="H67" s="27"/>
      <c r="I67" s="27"/>
      <c r="J67" s="27"/>
    </row>
    <row r="68" spans="1:10" ht="13.5" customHeight="1">
      <c r="A68" s="91" t="s">
        <v>136</v>
      </c>
      <c r="B68" s="94">
        <v>310</v>
      </c>
      <c r="C68" s="247" t="s">
        <v>717</v>
      </c>
      <c r="D68" s="30">
        <f>E68+F68+G68+I68</f>
        <v>0</v>
      </c>
      <c r="E68" s="27"/>
      <c r="F68" s="27"/>
      <c r="G68" s="27"/>
      <c r="H68" s="11" t="s">
        <v>28</v>
      </c>
      <c r="I68" s="27"/>
      <c r="J68" s="27"/>
    </row>
    <row r="69" spans="1:10" ht="13.5" customHeight="1">
      <c r="A69" s="92" t="s">
        <v>137</v>
      </c>
      <c r="B69" s="94">
        <v>320</v>
      </c>
      <c r="C69" s="247" t="s">
        <v>717</v>
      </c>
      <c r="D69" s="30">
        <f>E69+F69+G69+I69</f>
        <v>0</v>
      </c>
      <c r="E69" s="27"/>
      <c r="F69" s="27"/>
      <c r="G69" s="27"/>
      <c r="H69" s="11" t="s">
        <v>28</v>
      </c>
      <c r="I69" s="27"/>
      <c r="J69" s="27"/>
    </row>
    <row r="70" spans="1:10" ht="13.5" customHeight="1">
      <c r="A70" s="91" t="s">
        <v>138</v>
      </c>
      <c r="B70" s="94">
        <v>400</v>
      </c>
      <c r="C70" s="247" t="s">
        <v>717</v>
      </c>
      <c r="D70" s="30">
        <f>E70+F70+G70+I70</f>
        <v>0</v>
      </c>
      <c r="E70" s="27"/>
      <c r="F70" s="27"/>
      <c r="G70" s="27"/>
      <c r="H70" s="11" t="s">
        <v>28</v>
      </c>
      <c r="I70" s="27"/>
      <c r="J70" s="27"/>
    </row>
    <row r="71" spans="1:10" ht="8.25" customHeight="1">
      <c r="A71" s="68" t="s">
        <v>21</v>
      </c>
      <c r="B71" s="94"/>
      <c r="C71" s="247"/>
      <c r="D71" s="30"/>
      <c r="E71" s="27"/>
      <c r="F71" s="27"/>
      <c r="G71" s="27"/>
      <c r="H71" s="27"/>
      <c r="I71" s="27"/>
      <c r="J71" s="27"/>
    </row>
    <row r="72" spans="1:10" ht="13.5" customHeight="1">
      <c r="A72" s="91" t="s">
        <v>139</v>
      </c>
      <c r="B72" s="94">
        <v>410</v>
      </c>
      <c r="C72" s="247" t="s">
        <v>717</v>
      </c>
      <c r="D72" s="30">
        <f>E72+F72+G72+I72</f>
        <v>0</v>
      </c>
      <c r="E72" s="27"/>
      <c r="F72" s="27"/>
      <c r="G72" s="27"/>
      <c r="H72" s="11" t="s">
        <v>28</v>
      </c>
      <c r="I72" s="27"/>
      <c r="J72" s="27"/>
    </row>
    <row r="73" spans="1:10" ht="13.5" customHeight="1">
      <c r="A73" s="92" t="s">
        <v>140</v>
      </c>
      <c r="B73" s="94">
        <v>420</v>
      </c>
      <c r="C73" s="247" t="s">
        <v>717</v>
      </c>
      <c r="D73" s="30">
        <f>E73+F73+G73+I73</f>
        <v>0</v>
      </c>
      <c r="E73" s="27"/>
      <c r="F73" s="27"/>
      <c r="G73" s="27"/>
      <c r="H73" s="11" t="s">
        <v>28</v>
      </c>
      <c r="I73" s="27"/>
      <c r="J73" s="27"/>
    </row>
    <row r="74" spans="1:10" ht="12" customHeight="1">
      <c r="A74" s="259" t="s">
        <v>141</v>
      </c>
      <c r="B74" s="71">
        <v>500</v>
      </c>
      <c r="C74" s="11" t="s">
        <v>28</v>
      </c>
      <c r="D74" s="30">
        <f>E74+F74+G74+I74</f>
        <v>0</v>
      </c>
      <c r="E74" s="27"/>
      <c r="F74" s="31"/>
      <c r="G74" s="27"/>
      <c r="H74" s="11" t="s">
        <v>28</v>
      </c>
      <c r="I74" s="31"/>
      <c r="J74" s="27"/>
    </row>
    <row r="75" spans="1:10" ht="12" customHeight="1">
      <c r="A75" s="259" t="s">
        <v>29</v>
      </c>
      <c r="B75" s="71">
        <v>600</v>
      </c>
      <c r="C75" s="11" t="s">
        <v>28</v>
      </c>
      <c r="D75" s="30">
        <f>E75+F75+G75+I75</f>
        <v>0</v>
      </c>
      <c r="E75" s="27"/>
      <c r="F75" s="27"/>
      <c r="G75" s="27"/>
      <c r="H75" s="11" t="s">
        <v>28</v>
      </c>
      <c r="I75" s="27"/>
      <c r="J75" s="27"/>
    </row>
    <row r="76" spans="1:10" ht="9.75" customHeight="1">
      <c r="A76" s="260" t="s">
        <v>30</v>
      </c>
      <c r="B76" s="16"/>
      <c r="C76" s="27"/>
      <c r="D76" s="27"/>
      <c r="E76" s="27"/>
      <c r="F76" s="27"/>
      <c r="G76" s="27"/>
      <c r="H76" s="27"/>
      <c r="I76" s="27"/>
      <c r="J76" s="27"/>
    </row>
    <row r="77" spans="1:10" ht="15">
      <c r="A77" s="12" t="s">
        <v>31</v>
      </c>
      <c r="B77" s="11"/>
      <c r="C77" s="30">
        <f>D77+E77+F77</f>
        <v>0</v>
      </c>
      <c r="D77" s="27"/>
      <c r="E77" s="27"/>
      <c r="F77" s="27"/>
      <c r="G77" s="27"/>
      <c r="H77" s="27"/>
      <c r="I77" s="27"/>
      <c r="J77" s="27"/>
    </row>
    <row r="78" spans="1:10" ht="12.75">
      <c r="A78" s="296" t="s">
        <v>143</v>
      </c>
      <c r="B78" s="296"/>
      <c r="C78" s="296"/>
      <c r="D78" s="296"/>
      <c r="E78" s="296"/>
      <c r="F78" s="296"/>
      <c r="G78" s="296"/>
      <c r="H78" s="296"/>
      <c r="I78" s="296"/>
      <c r="J78" s="296"/>
    </row>
    <row r="79" spans="1:9" s="129" customFormat="1" ht="37.5" customHeight="1">
      <c r="A79" s="131"/>
      <c r="B79" s="128"/>
      <c r="C79" s="128"/>
      <c r="D79" s="127">
        <f>D9+D74-D32</f>
        <v>0</v>
      </c>
      <c r="E79" s="127">
        <f>E9+E74-E32</f>
        <v>0</v>
      </c>
      <c r="F79" s="127">
        <f>F9+F74-F32</f>
        <v>0</v>
      </c>
      <c r="G79" s="128"/>
      <c r="I79" s="127">
        <f>I9+I74-I32</f>
        <v>0</v>
      </c>
    </row>
  </sheetData>
  <sheetProtection/>
  <mergeCells count="12">
    <mergeCell ref="E4:J4"/>
    <mergeCell ref="E5:E6"/>
    <mergeCell ref="F5:F6"/>
    <mergeCell ref="G5:G6"/>
    <mergeCell ref="H5:H6"/>
    <mergeCell ref="I5:J5"/>
    <mergeCell ref="A78:J78"/>
    <mergeCell ref="A3:A6"/>
    <mergeCell ref="B3:B6"/>
    <mergeCell ref="C3:C6"/>
    <mergeCell ref="D3:J3"/>
    <mergeCell ref="D4:D6"/>
  </mergeCells>
  <printOptions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6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="90" zoomScaleNormal="90" zoomScalePageLayoutView="0" workbookViewId="0" topLeftCell="A1">
      <pane xSplit="4" ySplit="7" topLeftCell="E2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0" sqref="A50"/>
    </sheetView>
  </sheetViews>
  <sheetFormatPr defaultColWidth="9.00390625" defaultRowHeight="12.75"/>
  <cols>
    <col min="1" max="1" width="92.125" style="0" customWidth="1"/>
    <col min="2" max="2" width="5.125" style="0" bestFit="1" customWidth="1"/>
    <col min="3" max="3" width="15.625" style="0" customWidth="1"/>
    <col min="4" max="4" width="17.875" style="0" customWidth="1"/>
    <col min="5" max="5" width="18.00390625" style="0" bestFit="1" customWidth="1"/>
    <col min="6" max="6" width="19.75390625" style="0" customWidth="1"/>
    <col min="7" max="7" width="20.00390625" style="0" customWidth="1"/>
    <col min="8" max="8" width="8.125" style="0" customWidth="1"/>
    <col min="9" max="10" width="20.00390625" style="0" customWidth="1"/>
  </cols>
  <sheetData>
    <row r="1" spans="1:10" ht="27" customHeight="1">
      <c r="A1" s="69" t="s">
        <v>142</v>
      </c>
      <c r="B1" s="63"/>
      <c r="C1" s="63"/>
      <c r="D1" s="63"/>
      <c r="E1" s="63"/>
      <c r="F1" s="63"/>
      <c r="G1" s="63"/>
      <c r="H1" s="10"/>
      <c r="I1" s="10"/>
      <c r="J1" s="10"/>
    </row>
    <row r="2" spans="2:10" ht="15.75">
      <c r="B2" s="64"/>
      <c r="C2" s="123" t="s">
        <v>728</v>
      </c>
      <c r="D2" s="64"/>
      <c r="E2" s="64"/>
      <c r="F2" s="64"/>
      <c r="G2" s="64"/>
      <c r="H2" s="10"/>
      <c r="I2" s="10"/>
      <c r="J2" s="10"/>
    </row>
    <row r="3" spans="1:10" ht="15" customHeight="1">
      <c r="A3" s="294" t="s">
        <v>20</v>
      </c>
      <c r="B3" s="294" t="s">
        <v>111</v>
      </c>
      <c r="C3" s="297" t="s">
        <v>112</v>
      </c>
      <c r="D3" s="295" t="s">
        <v>113</v>
      </c>
      <c r="E3" s="295"/>
      <c r="F3" s="295"/>
      <c r="G3" s="295"/>
      <c r="H3" s="295"/>
      <c r="I3" s="295"/>
      <c r="J3" s="295"/>
    </row>
    <row r="4" spans="1:10" ht="15" customHeight="1">
      <c r="A4" s="294"/>
      <c r="B4" s="294"/>
      <c r="C4" s="298"/>
      <c r="D4" s="295" t="s">
        <v>24</v>
      </c>
      <c r="E4" s="295" t="s">
        <v>25</v>
      </c>
      <c r="F4" s="295"/>
      <c r="G4" s="295"/>
      <c r="H4" s="295"/>
      <c r="I4" s="295"/>
      <c r="J4" s="295"/>
    </row>
    <row r="5" spans="1:10" ht="36" customHeight="1">
      <c r="A5" s="294"/>
      <c r="B5" s="294"/>
      <c r="C5" s="298"/>
      <c r="D5" s="295"/>
      <c r="E5" s="302" t="s">
        <v>114</v>
      </c>
      <c r="F5" s="302" t="s">
        <v>115</v>
      </c>
      <c r="G5" s="304" t="s">
        <v>116</v>
      </c>
      <c r="H5" s="300" t="s">
        <v>117</v>
      </c>
      <c r="I5" s="306" t="s">
        <v>118</v>
      </c>
      <c r="J5" s="306"/>
    </row>
    <row r="6" spans="1:10" ht="15">
      <c r="A6" s="294"/>
      <c r="B6" s="294"/>
      <c r="C6" s="299"/>
      <c r="D6" s="295"/>
      <c r="E6" s="303"/>
      <c r="F6" s="303"/>
      <c r="G6" s="305"/>
      <c r="H6" s="301"/>
      <c r="I6" s="48" t="s">
        <v>119</v>
      </c>
      <c r="J6" s="89" t="s">
        <v>120</v>
      </c>
    </row>
    <row r="7" spans="1:10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ht="15">
      <c r="A8" s="12"/>
      <c r="B8" s="11"/>
      <c r="C8" s="11"/>
      <c r="D8" s="30"/>
      <c r="E8" s="27"/>
      <c r="F8" s="31"/>
      <c r="G8" s="27"/>
      <c r="H8" s="27"/>
      <c r="I8" s="27"/>
      <c r="J8" s="27"/>
    </row>
    <row r="9" spans="1:10" ht="15">
      <c r="A9" s="13" t="s">
        <v>121</v>
      </c>
      <c r="B9" s="14">
        <v>100</v>
      </c>
      <c r="C9" s="11"/>
      <c r="D9" s="29">
        <f>E9+F9+G9+I9</f>
        <v>11829278.17</v>
      </c>
      <c r="E9" s="27">
        <f>E12</f>
        <v>10379398.17</v>
      </c>
      <c r="F9" s="27">
        <f>F25</f>
        <v>150400</v>
      </c>
      <c r="G9" s="27">
        <f>G25</f>
        <v>0</v>
      </c>
      <c r="H9" s="11" t="s">
        <v>28</v>
      </c>
      <c r="I9" s="27">
        <f>I11+I12+I23+I24+I26+I27</f>
        <v>1299480</v>
      </c>
      <c r="J9" s="27">
        <f>J12+J26</f>
        <v>0</v>
      </c>
    </row>
    <row r="10" spans="1:10" ht="15">
      <c r="A10" s="12" t="s">
        <v>26</v>
      </c>
      <c r="B10" s="11"/>
      <c r="C10" s="11"/>
      <c r="D10" s="30"/>
      <c r="E10" s="27"/>
      <c r="F10" s="27"/>
      <c r="G10" s="27"/>
      <c r="H10" s="11"/>
      <c r="I10" s="27"/>
      <c r="J10" s="27"/>
    </row>
    <row r="11" spans="1:10" ht="17.25" customHeight="1">
      <c r="A11" s="41" t="s">
        <v>38</v>
      </c>
      <c r="B11" s="11">
        <v>110</v>
      </c>
      <c r="C11" s="11">
        <v>120</v>
      </c>
      <c r="D11" s="31">
        <f>I11</f>
        <v>0</v>
      </c>
      <c r="E11" s="11" t="s">
        <v>28</v>
      </c>
      <c r="F11" s="11" t="s">
        <v>28</v>
      </c>
      <c r="G11" s="11" t="s">
        <v>28</v>
      </c>
      <c r="H11" s="11" t="s">
        <v>28</v>
      </c>
      <c r="I11" s="27"/>
      <c r="J11" s="11" t="s">
        <v>28</v>
      </c>
    </row>
    <row r="12" spans="1:10" ht="30">
      <c r="A12" s="41" t="s">
        <v>155</v>
      </c>
      <c r="B12" s="11">
        <v>120</v>
      </c>
      <c r="C12" s="11">
        <v>130</v>
      </c>
      <c r="D12" s="30">
        <f>SUM(D14:D21)</f>
        <v>10909398.17</v>
      </c>
      <c r="E12" s="30">
        <f>SUM(E14)</f>
        <v>10379398.17</v>
      </c>
      <c r="F12" s="11" t="s">
        <v>28</v>
      </c>
      <c r="G12" s="11" t="s">
        <v>28</v>
      </c>
      <c r="H12" s="11" t="s">
        <v>28</v>
      </c>
      <c r="I12" s="30">
        <f>SUM(I14:I21)</f>
        <v>530000</v>
      </c>
      <c r="J12" s="30">
        <f>SUM(J14:J16)</f>
        <v>0</v>
      </c>
    </row>
    <row r="13" spans="1:10" ht="15">
      <c r="A13" s="12" t="s">
        <v>26</v>
      </c>
      <c r="B13" s="11"/>
      <c r="C13" s="11"/>
      <c r="D13" s="30"/>
      <c r="E13" s="46"/>
      <c r="F13" s="27"/>
      <c r="G13" s="27"/>
      <c r="H13" s="11"/>
      <c r="I13" s="27"/>
      <c r="J13" s="27"/>
    </row>
    <row r="14" spans="1:10" ht="15">
      <c r="A14" s="126" t="s">
        <v>230</v>
      </c>
      <c r="B14" s="11">
        <v>1201</v>
      </c>
      <c r="C14" s="11"/>
      <c r="D14" s="30">
        <f>E14+I14</f>
        <v>10379398.17</v>
      </c>
      <c r="E14" s="46">
        <v>10379398.17</v>
      </c>
      <c r="F14" s="11" t="s">
        <v>28</v>
      </c>
      <c r="G14" s="11" t="s">
        <v>28</v>
      </c>
      <c r="H14" s="11" t="s">
        <v>28</v>
      </c>
      <c r="I14" s="27"/>
      <c r="J14" s="27"/>
    </row>
    <row r="15" spans="1:10" ht="15">
      <c r="A15" s="12" t="s">
        <v>229</v>
      </c>
      <c r="B15" s="11">
        <v>1202</v>
      </c>
      <c r="C15" s="11"/>
      <c r="D15" s="30">
        <f>I15</f>
        <v>530000</v>
      </c>
      <c r="E15" s="11" t="s">
        <v>28</v>
      </c>
      <c r="F15" s="11" t="s">
        <v>28</v>
      </c>
      <c r="G15" s="11" t="s">
        <v>28</v>
      </c>
      <c r="H15" s="11" t="s">
        <v>28</v>
      </c>
      <c r="I15" s="27">
        <v>530000</v>
      </c>
      <c r="J15" s="11" t="s">
        <v>28</v>
      </c>
    </row>
    <row r="16" spans="1:10" ht="15" customHeight="1" hidden="1">
      <c r="A16" s="12"/>
      <c r="B16" s="11">
        <v>1203</v>
      </c>
      <c r="C16" s="11"/>
      <c r="D16" s="31">
        <f>I16</f>
        <v>0</v>
      </c>
      <c r="E16" s="11" t="s">
        <v>28</v>
      </c>
      <c r="F16" s="11" t="s">
        <v>28</v>
      </c>
      <c r="G16" s="11" t="s">
        <v>28</v>
      </c>
      <c r="H16" s="11" t="s">
        <v>28</v>
      </c>
      <c r="I16" s="27"/>
      <c r="J16" s="11" t="s">
        <v>28</v>
      </c>
    </row>
    <row r="17" spans="1:10" ht="15" customHeight="1" hidden="1">
      <c r="A17" s="12"/>
      <c r="B17" s="11">
        <v>1204</v>
      </c>
      <c r="C17" s="11"/>
      <c r="D17" s="31">
        <f>I17</f>
        <v>0</v>
      </c>
      <c r="E17" s="11" t="s">
        <v>28</v>
      </c>
      <c r="F17" s="11" t="s">
        <v>28</v>
      </c>
      <c r="G17" s="11" t="s">
        <v>28</v>
      </c>
      <c r="H17" s="11" t="s">
        <v>28</v>
      </c>
      <c r="I17" s="27"/>
      <c r="J17" s="11" t="s">
        <v>28</v>
      </c>
    </row>
    <row r="18" spans="1:10" ht="18.75" customHeight="1" hidden="1">
      <c r="A18" s="12"/>
      <c r="B18" s="11">
        <v>1205</v>
      </c>
      <c r="C18" s="11"/>
      <c r="D18" s="31">
        <f>I18</f>
        <v>0</v>
      </c>
      <c r="E18" s="11" t="s">
        <v>28</v>
      </c>
      <c r="F18" s="11" t="s">
        <v>28</v>
      </c>
      <c r="G18" s="11" t="s">
        <v>28</v>
      </c>
      <c r="H18" s="11" t="s">
        <v>28</v>
      </c>
      <c r="I18" s="27"/>
      <c r="J18" s="11" t="s">
        <v>28</v>
      </c>
    </row>
    <row r="19" spans="1:10" ht="15" customHeight="1" hidden="1">
      <c r="A19" s="12"/>
      <c r="B19" s="11">
        <v>1206</v>
      </c>
      <c r="C19" s="11"/>
      <c r="D19" s="31">
        <f>I19</f>
        <v>0</v>
      </c>
      <c r="E19" s="11" t="s">
        <v>28</v>
      </c>
      <c r="F19" s="11" t="s">
        <v>28</v>
      </c>
      <c r="G19" s="11" t="s">
        <v>28</v>
      </c>
      <c r="H19" s="11" t="s">
        <v>28</v>
      </c>
      <c r="I19" s="27"/>
      <c r="J19" s="11" t="s">
        <v>28</v>
      </c>
    </row>
    <row r="20" spans="1:10" ht="15" customHeight="1" hidden="1">
      <c r="A20" s="12"/>
      <c r="B20" s="11">
        <v>1207</v>
      </c>
      <c r="C20" s="11"/>
      <c r="D20" s="30">
        <f>E20+I20</f>
        <v>0</v>
      </c>
      <c r="E20" s="46"/>
      <c r="F20" s="11" t="s">
        <v>28</v>
      </c>
      <c r="G20" s="11" t="s">
        <v>28</v>
      </c>
      <c r="H20" s="11" t="s">
        <v>28</v>
      </c>
      <c r="I20" s="27"/>
      <c r="J20" s="27"/>
    </row>
    <row r="21" spans="1:10" ht="15" customHeight="1" hidden="1">
      <c r="A21" s="12"/>
      <c r="B21" s="11">
        <v>1208</v>
      </c>
      <c r="C21" s="11"/>
      <c r="D21" s="30">
        <f>E21+I21</f>
        <v>0</v>
      </c>
      <c r="E21" s="46"/>
      <c r="F21" s="11" t="s">
        <v>28</v>
      </c>
      <c r="G21" s="11" t="s">
        <v>28</v>
      </c>
      <c r="H21" s="11" t="s">
        <v>28</v>
      </c>
      <c r="I21" s="27"/>
      <c r="J21" s="27"/>
    </row>
    <row r="22" spans="1:10" ht="15">
      <c r="A22" s="70" t="s">
        <v>27</v>
      </c>
      <c r="B22" s="88"/>
      <c r="C22" s="11"/>
      <c r="D22" s="30"/>
      <c r="E22" s="46"/>
      <c r="F22" s="27"/>
      <c r="G22" s="27"/>
      <c r="H22" s="11" t="s">
        <v>28</v>
      </c>
      <c r="I22" s="27"/>
      <c r="J22" s="27"/>
    </row>
    <row r="23" spans="1:10" ht="15">
      <c r="A23" s="41" t="s">
        <v>42</v>
      </c>
      <c r="B23" s="11">
        <v>130</v>
      </c>
      <c r="C23" s="11">
        <v>140</v>
      </c>
      <c r="D23" s="31">
        <f>I23</f>
        <v>0</v>
      </c>
      <c r="E23" s="11" t="s">
        <v>28</v>
      </c>
      <c r="F23" s="11" t="s">
        <v>28</v>
      </c>
      <c r="G23" s="11" t="s">
        <v>28</v>
      </c>
      <c r="H23" s="11" t="s">
        <v>28</v>
      </c>
      <c r="I23" s="27"/>
      <c r="J23" s="11" t="s">
        <v>28</v>
      </c>
    </row>
    <row r="24" spans="1:10" ht="22.5">
      <c r="A24" s="68" t="s">
        <v>122</v>
      </c>
      <c r="B24" s="11">
        <v>140</v>
      </c>
      <c r="C24" s="11">
        <v>152</v>
      </c>
      <c r="D24" s="31">
        <f>I24</f>
        <v>0</v>
      </c>
      <c r="E24" s="11" t="s">
        <v>28</v>
      </c>
      <c r="F24" s="11" t="s">
        <v>28</v>
      </c>
      <c r="G24" s="11" t="s">
        <v>28</v>
      </c>
      <c r="H24" s="11" t="s">
        <v>28</v>
      </c>
      <c r="I24" s="27"/>
      <c r="J24" s="11" t="s">
        <v>28</v>
      </c>
    </row>
    <row r="25" spans="1:10" ht="15">
      <c r="A25" s="12" t="s">
        <v>123</v>
      </c>
      <c r="B25" s="11">
        <v>150</v>
      </c>
      <c r="C25" s="11">
        <v>180</v>
      </c>
      <c r="D25" s="30">
        <f>F25+G25</f>
        <v>150400</v>
      </c>
      <c r="E25" s="11" t="s">
        <v>28</v>
      </c>
      <c r="F25" s="27">
        <v>150400</v>
      </c>
      <c r="G25" s="27"/>
      <c r="H25" s="11" t="s">
        <v>28</v>
      </c>
      <c r="I25" s="11" t="s">
        <v>28</v>
      </c>
      <c r="J25" s="11" t="s">
        <v>28</v>
      </c>
    </row>
    <row r="26" spans="1:10" ht="18" customHeight="1">
      <c r="A26" s="12" t="s">
        <v>124</v>
      </c>
      <c r="B26" s="11">
        <v>160</v>
      </c>
      <c r="C26" s="11">
        <v>180</v>
      </c>
      <c r="D26" s="30">
        <f>I26</f>
        <v>769480</v>
      </c>
      <c r="E26" s="11" t="s">
        <v>28</v>
      </c>
      <c r="F26" s="11" t="s">
        <v>28</v>
      </c>
      <c r="G26" s="11" t="s">
        <v>28</v>
      </c>
      <c r="H26" s="11" t="s">
        <v>28</v>
      </c>
      <c r="I26" s="27">
        <v>769480</v>
      </c>
      <c r="J26" s="27"/>
    </row>
    <row r="27" spans="1:10" ht="15">
      <c r="A27" s="41" t="s">
        <v>125</v>
      </c>
      <c r="B27" s="88">
        <v>180</v>
      </c>
      <c r="C27" s="11" t="s">
        <v>28</v>
      </c>
      <c r="D27" s="31">
        <f>SUM(D29:D31)</f>
        <v>0</v>
      </c>
      <c r="E27" s="11" t="s">
        <v>28</v>
      </c>
      <c r="F27" s="11" t="s">
        <v>28</v>
      </c>
      <c r="G27" s="11" t="s">
        <v>28</v>
      </c>
      <c r="H27" s="11" t="s">
        <v>28</v>
      </c>
      <c r="I27" s="31">
        <f>SUM(I29:I31)</f>
        <v>0</v>
      </c>
      <c r="J27" s="11" t="s">
        <v>28</v>
      </c>
    </row>
    <row r="28" spans="1:10" ht="15">
      <c r="A28" s="12" t="s">
        <v>26</v>
      </c>
      <c r="B28" s="11"/>
      <c r="C28" s="11"/>
      <c r="D28" s="30">
        <f>E28+F28+G28</f>
        <v>0</v>
      </c>
      <c r="E28" s="27"/>
      <c r="F28" s="27"/>
      <c r="G28" s="27"/>
      <c r="H28" s="11"/>
      <c r="I28" s="27"/>
      <c r="J28" s="27"/>
    </row>
    <row r="29" spans="1:10" ht="15">
      <c r="A29" s="12" t="s">
        <v>156</v>
      </c>
      <c r="B29" s="11">
        <v>1801</v>
      </c>
      <c r="C29" s="11">
        <v>440</v>
      </c>
      <c r="D29" s="31">
        <f>I29</f>
        <v>0</v>
      </c>
      <c r="E29" s="11" t="s">
        <v>28</v>
      </c>
      <c r="F29" s="11" t="s">
        <v>28</v>
      </c>
      <c r="G29" s="11" t="s">
        <v>28</v>
      </c>
      <c r="H29" s="11" t="s">
        <v>28</v>
      </c>
      <c r="I29" s="27"/>
      <c r="J29" s="11" t="s">
        <v>28</v>
      </c>
    </row>
    <row r="30" spans="1:10" ht="15" customHeight="1" hidden="1">
      <c r="A30" s="12"/>
      <c r="B30" s="11">
        <v>1802</v>
      </c>
      <c r="C30" s="88"/>
      <c r="D30" s="31">
        <f>I30</f>
        <v>0</v>
      </c>
      <c r="E30" s="11" t="s">
        <v>28</v>
      </c>
      <c r="F30" s="11" t="s">
        <v>28</v>
      </c>
      <c r="G30" s="11" t="s">
        <v>28</v>
      </c>
      <c r="H30" s="11" t="s">
        <v>28</v>
      </c>
      <c r="I30" s="27"/>
      <c r="J30" s="11" t="s">
        <v>28</v>
      </c>
    </row>
    <row r="31" spans="1:10" ht="15" customHeight="1" hidden="1">
      <c r="A31" s="12"/>
      <c r="B31" s="11">
        <v>1803</v>
      </c>
      <c r="C31" s="11"/>
      <c r="D31" s="31">
        <f>I31</f>
        <v>0</v>
      </c>
      <c r="E31" s="11" t="s">
        <v>28</v>
      </c>
      <c r="F31" s="11" t="s">
        <v>28</v>
      </c>
      <c r="G31" s="11" t="s">
        <v>28</v>
      </c>
      <c r="H31" s="11" t="s">
        <v>28</v>
      </c>
      <c r="I31" s="27"/>
      <c r="J31" s="11" t="s">
        <v>28</v>
      </c>
    </row>
    <row r="32" spans="1:10" ht="15">
      <c r="A32" s="77" t="s">
        <v>126</v>
      </c>
      <c r="B32" s="74">
        <v>200</v>
      </c>
      <c r="C32" s="14"/>
      <c r="D32" s="28">
        <f>D52+D55+D59+D63+D64+D65+D66</f>
        <v>11829278.17</v>
      </c>
      <c r="E32" s="28">
        <f>E52+E55+E59+E63+E64+E65+E66</f>
        <v>10379398.17</v>
      </c>
      <c r="F32" s="28">
        <f>F52+F55+F59+F63+F64+F65+F66</f>
        <v>150400</v>
      </c>
      <c r="G32" s="28">
        <f>G52+G55+G59+G63+G64+G65+G66</f>
        <v>0</v>
      </c>
      <c r="H32" s="11" t="s">
        <v>28</v>
      </c>
      <c r="I32" s="28">
        <f>I52+I55+I59+I63+I64+I65+I66</f>
        <v>1299480</v>
      </c>
      <c r="J32" s="28">
        <f>J52+J55+J59+J63+J64+J65+J66</f>
        <v>0</v>
      </c>
    </row>
    <row r="33" spans="1:10" ht="15">
      <c r="A33" s="76" t="s">
        <v>127</v>
      </c>
      <c r="D33" s="30"/>
      <c r="E33" s="30"/>
      <c r="F33" s="30"/>
      <c r="G33" s="28"/>
      <c r="H33" s="11" t="s">
        <v>28</v>
      </c>
      <c r="I33" s="28"/>
      <c r="J33" s="28"/>
    </row>
    <row r="34" spans="1:10" ht="15">
      <c r="A34" s="26" t="s">
        <v>440</v>
      </c>
      <c r="B34" s="14"/>
      <c r="C34" s="30"/>
      <c r="D34" s="28">
        <f>E34+F34+G34+I34</f>
        <v>10379398.17</v>
      </c>
      <c r="E34" s="46">
        <v>10379398.17</v>
      </c>
      <c r="F34" s="27"/>
      <c r="G34" s="27"/>
      <c r="H34" s="11" t="s">
        <v>28</v>
      </c>
      <c r="I34" s="27"/>
      <c r="J34" s="28"/>
    </row>
    <row r="35" spans="1:10" ht="15" hidden="1">
      <c r="A35" s="26" t="s">
        <v>441</v>
      </c>
      <c r="B35" s="14"/>
      <c r="C35" s="30"/>
      <c r="D35" s="28"/>
      <c r="E35" s="46"/>
      <c r="F35" s="27"/>
      <c r="G35" s="27"/>
      <c r="H35" s="11"/>
      <c r="I35" s="27"/>
      <c r="J35" s="28"/>
    </row>
    <row r="36" spans="1:10" ht="15" hidden="1">
      <c r="A36" s="26" t="s">
        <v>444</v>
      </c>
      <c r="B36" s="14"/>
      <c r="C36" s="30"/>
      <c r="D36" s="28">
        <f aca="true" t="shared" si="0" ref="D36:D43">E36+F36+G36+I36</f>
        <v>0</v>
      </c>
      <c r="E36" s="46"/>
      <c r="F36" s="27"/>
      <c r="G36" s="27"/>
      <c r="H36" s="11" t="s">
        <v>28</v>
      </c>
      <c r="I36" s="27"/>
      <c r="J36" s="28"/>
    </row>
    <row r="37" spans="1:10" ht="15" hidden="1">
      <c r="A37" s="26" t="s">
        <v>445</v>
      </c>
      <c r="B37" s="14"/>
      <c r="C37" s="30"/>
      <c r="D37" s="28">
        <f t="shared" si="0"/>
        <v>0</v>
      </c>
      <c r="E37" s="46"/>
      <c r="F37" s="27"/>
      <c r="G37" s="27"/>
      <c r="H37" s="11" t="s">
        <v>28</v>
      </c>
      <c r="I37" s="27"/>
      <c r="J37" s="28"/>
    </row>
    <row r="38" spans="1:10" ht="15" hidden="1">
      <c r="A38" s="196" t="s">
        <v>442</v>
      </c>
      <c r="B38" s="14"/>
      <c r="C38" s="30"/>
      <c r="D38" s="28"/>
      <c r="E38" s="46"/>
      <c r="F38" s="27"/>
      <c r="G38" s="27"/>
      <c r="H38" s="11"/>
      <c r="I38" s="27"/>
      <c r="J38" s="28"/>
    </row>
    <row r="39" spans="1:10" ht="15" hidden="1">
      <c r="A39" s="196" t="s">
        <v>443</v>
      </c>
      <c r="B39" s="14"/>
      <c r="C39" s="30"/>
      <c r="D39" s="28"/>
      <c r="E39" s="46"/>
      <c r="F39" s="27"/>
      <c r="G39" s="27"/>
      <c r="H39" s="11"/>
      <c r="I39" s="27"/>
      <c r="J39" s="28"/>
    </row>
    <row r="40" spans="1:10" ht="15">
      <c r="A40" s="26" t="s">
        <v>223</v>
      </c>
      <c r="B40" s="14"/>
      <c r="C40" s="30"/>
      <c r="D40" s="28">
        <f t="shared" si="0"/>
        <v>56400</v>
      </c>
      <c r="E40" s="27"/>
      <c r="F40" s="27">
        <v>56400</v>
      </c>
      <c r="G40" s="27"/>
      <c r="H40" s="11" t="s">
        <v>28</v>
      </c>
      <c r="I40" s="27"/>
      <c r="J40" s="28"/>
    </row>
    <row r="41" spans="1:10" ht="15">
      <c r="A41" s="26" t="s">
        <v>224</v>
      </c>
      <c r="B41" s="14"/>
      <c r="C41" s="30"/>
      <c r="D41" s="28">
        <f t="shared" si="0"/>
        <v>94000</v>
      </c>
      <c r="E41" s="27"/>
      <c r="F41" s="27">
        <v>94000</v>
      </c>
      <c r="G41" s="27"/>
      <c r="H41" s="11" t="s">
        <v>28</v>
      </c>
      <c r="I41" s="27"/>
      <c r="J41" s="28"/>
    </row>
    <row r="42" spans="1:10" ht="15" customHeight="1" hidden="1">
      <c r="A42" s="26" t="s">
        <v>225</v>
      </c>
      <c r="B42" s="14"/>
      <c r="C42" s="30"/>
      <c r="D42" s="28">
        <f t="shared" si="0"/>
        <v>0</v>
      </c>
      <c r="E42" s="27"/>
      <c r="F42" s="27"/>
      <c r="G42" s="27"/>
      <c r="H42" s="11" t="s">
        <v>28</v>
      </c>
      <c r="I42" s="27"/>
      <c r="J42" s="28"/>
    </row>
    <row r="43" spans="1:10" ht="15" customHeight="1" hidden="1">
      <c r="A43" s="26" t="s">
        <v>226</v>
      </c>
      <c r="B43" s="14"/>
      <c r="C43" s="30"/>
      <c r="D43" s="28">
        <f t="shared" si="0"/>
        <v>0</v>
      </c>
      <c r="E43" s="27"/>
      <c r="F43" s="27"/>
      <c r="G43" s="27"/>
      <c r="H43" s="11" t="s">
        <v>28</v>
      </c>
      <c r="I43" s="27"/>
      <c r="J43" s="28"/>
    </row>
    <row r="44" spans="1:10" ht="15" customHeight="1" hidden="1">
      <c r="A44" s="26"/>
      <c r="B44" s="14"/>
      <c r="C44" s="30"/>
      <c r="D44" s="28"/>
      <c r="E44" s="27"/>
      <c r="F44" s="27">
        <f>SUM(F34:F43)-F32</f>
        <v>0</v>
      </c>
      <c r="G44" s="27"/>
      <c r="H44" s="11" t="s">
        <v>28</v>
      </c>
      <c r="I44" s="27"/>
      <c r="J44" s="28"/>
    </row>
    <row r="45" spans="1:10" ht="15" customHeight="1" hidden="1">
      <c r="A45" s="26"/>
      <c r="B45" s="14"/>
      <c r="C45" s="30"/>
      <c r="D45" s="28"/>
      <c r="E45" s="27"/>
      <c r="F45" s="27"/>
      <c r="G45" s="27"/>
      <c r="H45" s="11" t="s">
        <v>28</v>
      </c>
      <c r="I45" s="27"/>
      <c r="J45" s="28"/>
    </row>
    <row r="46" spans="1:10" ht="15" customHeight="1" hidden="1">
      <c r="A46" s="26"/>
      <c r="B46" s="14"/>
      <c r="C46" s="30"/>
      <c r="D46" s="28"/>
      <c r="E46" s="27"/>
      <c r="F46" s="27"/>
      <c r="G46" s="27"/>
      <c r="H46" s="11" t="s">
        <v>28</v>
      </c>
      <c r="I46" s="27"/>
      <c r="J46" s="28"/>
    </row>
    <row r="47" spans="1:10" ht="15" customHeight="1" hidden="1">
      <c r="A47" s="26"/>
      <c r="B47" s="14"/>
      <c r="C47" s="30"/>
      <c r="D47" s="28"/>
      <c r="E47" s="27"/>
      <c r="F47" s="27"/>
      <c r="G47" s="27"/>
      <c r="H47" s="11" t="s">
        <v>28</v>
      </c>
      <c r="I47" s="27"/>
      <c r="J47" s="28"/>
    </row>
    <row r="48" spans="1:10" ht="15" customHeight="1" hidden="1">
      <c r="A48" s="26"/>
      <c r="B48" s="14"/>
      <c r="C48" s="30"/>
      <c r="D48" s="28"/>
      <c r="E48" s="27"/>
      <c r="F48" s="27"/>
      <c r="G48" s="27"/>
      <c r="H48" s="11" t="s">
        <v>28</v>
      </c>
      <c r="I48" s="27"/>
      <c r="J48" s="28"/>
    </row>
    <row r="49" spans="1:10" ht="15" customHeight="1" hidden="1">
      <c r="A49" s="26"/>
      <c r="B49" s="14"/>
      <c r="C49" s="30"/>
      <c r="D49" s="28"/>
      <c r="E49" s="27"/>
      <c r="F49" s="27"/>
      <c r="G49" s="27"/>
      <c r="H49" s="11" t="s">
        <v>28</v>
      </c>
      <c r="I49" s="27"/>
      <c r="J49" s="28"/>
    </row>
    <row r="50" spans="1:10" ht="15">
      <c r="A50" s="26" t="s">
        <v>731</v>
      </c>
      <c r="B50" s="14"/>
      <c r="C50" s="124"/>
      <c r="D50" s="28">
        <f>E50+F50+G50+I50</f>
        <v>1299480</v>
      </c>
      <c r="E50" s="27"/>
      <c r="F50" s="27"/>
      <c r="G50" s="27"/>
      <c r="H50" s="11" t="s">
        <v>28</v>
      </c>
      <c r="I50" s="27">
        <v>1299480</v>
      </c>
      <c r="J50" s="28"/>
    </row>
    <row r="51" spans="1:10" ht="15">
      <c r="A51" s="12" t="s">
        <v>21</v>
      </c>
      <c r="B51" s="11"/>
      <c r="C51" s="32">
        <f>SUM(C36:C50)</f>
        <v>0</v>
      </c>
      <c r="D51" s="32">
        <f aca="true" t="shared" si="1" ref="D51:J51">SUM(D34:D50)</f>
        <v>11829278.17</v>
      </c>
      <c r="E51" s="32">
        <f t="shared" si="1"/>
        <v>10379398.17</v>
      </c>
      <c r="F51" s="32">
        <f t="shared" si="1"/>
        <v>150400</v>
      </c>
      <c r="G51" s="32">
        <f t="shared" si="1"/>
        <v>0</v>
      </c>
      <c r="H51" s="32">
        <f t="shared" si="1"/>
        <v>0</v>
      </c>
      <c r="I51" s="32">
        <f t="shared" si="1"/>
        <v>1299480</v>
      </c>
      <c r="J51" s="32">
        <f t="shared" si="1"/>
        <v>0</v>
      </c>
    </row>
    <row r="52" spans="1:10" ht="15">
      <c r="A52" s="12" t="s">
        <v>128</v>
      </c>
      <c r="B52" s="17">
        <v>210</v>
      </c>
      <c r="C52" s="17">
        <v>110</v>
      </c>
      <c r="D52" s="30">
        <f>E52+F52+G52+I52</f>
        <v>11159294.17</v>
      </c>
      <c r="E52" s="27">
        <v>10379398.17</v>
      </c>
      <c r="F52" s="27"/>
      <c r="G52" s="27"/>
      <c r="H52" s="11" t="s">
        <v>28</v>
      </c>
      <c r="I52" s="27">
        <f>10416+769480</f>
        <v>779896</v>
      </c>
      <c r="J52" s="27"/>
    </row>
    <row r="53" spans="1:10" ht="15">
      <c r="A53" s="70" t="s">
        <v>21</v>
      </c>
      <c r="B53" s="17"/>
      <c r="C53" s="17"/>
      <c r="D53" s="30"/>
      <c r="E53" s="27"/>
      <c r="F53" s="27"/>
      <c r="G53" s="27"/>
      <c r="H53" s="11" t="s">
        <v>28</v>
      </c>
      <c r="I53" s="27"/>
      <c r="J53" s="27"/>
    </row>
    <row r="54" spans="1:10" ht="15">
      <c r="A54" s="12" t="s">
        <v>129</v>
      </c>
      <c r="B54" s="17">
        <v>211</v>
      </c>
      <c r="C54" s="17">
        <v>110</v>
      </c>
      <c r="D54" s="30">
        <f>E54+F54+G54+I54</f>
        <v>10389814.17</v>
      </c>
      <c r="E54" s="27">
        <v>10379398.17</v>
      </c>
      <c r="F54" s="27"/>
      <c r="G54" s="27"/>
      <c r="H54" s="11" t="s">
        <v>28</v>
      </c>
      <c r="I54" s="27">
        <f>10416</f>
        <v>10416</v>
      </c>
      <c r="J54" s="27"/>
    </row>
    <row r="55" spans="1:10" ht="15">
      <c r="A55" s="12" t="s">
        <v>130</v>
      </c>
      <c r="B55" s="17">
        <v>220</v>
      </c>
      <c r="C55" s="17">
        <v>321</v>
      </c>
      <c r="D55" s="30">
        <f>E55+F55+G55+I55</f>
        <v>0</v>
      </c>
      <c r="E55" s="27">
        <f>E57</f>
        <v>0</v>
      </c>
      <c r="F55" s="27"/>
      <c r="G55" s="27"/>
      <c r="H55" s="11" t="s">
        <v>28</v>
      </c>
      <c r="I55" s="27"/>
      <c r="J55" s="27"/>
    </row>
    <row r="56" spans="1:10" ht="15">
      <c r="A56" s="12" t="s">
        <v>21</v>
      </c>
      <c r="B56" s="17"/>
      <c r="C56" s="17"/>
      <c r="D56" s="30"/>
      <c r="E56" s="27"/>
      <c r="F56" s="27"/>
      <c r="G56" s="27"/>
      <c r="H56" s="11" t="s">
        <v>28</v>
      </c>
      <c r="I56" s="27"/>
      <c r="J56" s="27"/>
    </row>
    <row r="57" spans="1:10" ht="20.25" customHeight="1">
      <c r="A57" s="256" t="s">
        <v>235</v>
      </c>
      <c r="B57" s="134"/>
      <c r="C57" s="17"/>
      <c r="D57" s="30">
        <f>E57+F57+G57+I57</f>
        <v>0</v>
      </c>
      <c r="E57" s="27"/>
      <c r="F57" s="27"/>
      <c r="G57" s="27"/>
      <c r="H57" s="11" t="s">
        <v>28</v>
      </c>
      <c r="I57" s="27"/>
      <c r="J57" s="27"/>
    </row>
    <row r="58" spans="1:10" ht="15" customHeight="1" hidden="1">
      <c r="A58" s="254"/>
      <c r="B58" s="17"/>
      <c r="C58" s="17"/>
      <c r="D58" s="30">
        <f>E58+F58+G58</f>
        <v>0</v>
      </c>
      <c r="E58" s="27"/>
      <c r="F58" s="27"/>
      <c r="G58" s="27"/>
      <c r="H58" s="11" t="s">
        <v>28</v>
      </c>
      <c r="I58" s="27"/>
      <c r="J58" s="27"/>
    </row>
    <row r="59" spans="1:10" ht="15">
      <c r="A59" s="254" t="s">
        <v>131</v>
      </c>
      <c r="B59" s="17">
        <v>230</v>
      </c>
      <c r="C59" s="17">
        <v>850</v>
      </c>
      <c r="D59" s="30">
        <f>E59+F59+G59+I59</f>
        <v>6000</v>
      </c>
      <c r="E59" s="27">
        <f>SUM(E61:E62)</f>
        <v>0</v>
      </c>
      <c r="F59" s="27"/>
      <c r="G59" s="27"/>
      <c r="H59" s="11" t="s">
        <v>28</v>
      </c>
      <c r="I59" s="27">
        <f>SUM(I61:I62)</f>
        <v>6000</v>
      </c>
      <c r="J59" s="27"/>
    </row>
    <row r="60" spans="1:10" ht="8.25" customHeight="1">
      <c r="A60" s="254" t="s">
        <v>21</v>
      </c>
      <c r="B60" s="17"/>
      <c r="C60" s="17"/>
      <c r="D60" s="30"/>
      <c r="E60" s="27"/>
      <c r="F60" s="27"/>
      <c r="G60" s="27"/>
      <c r="H60" s="11" t="s">
        <v>28</v>
      </c>
      <c r="I60" s="27"/>
      <c r="J60" s="27"/>
    </row>
    <row r="61" spans="1:10" ht="15">
      <c r="A61" s="261" t="s">
        <v>227</v>
      </c>
      <c r="B61" s="17"/>
      <c r="C61" s="17">
        <v>852</v>
      </c>
      <c r="D61" s="30">
        <f aca="true" t="shared" si="2" ref="D61:D66">E61+F61+G61+I61</f>
        <v>6000</v>
      </c>
      <c r="E61" s="27"/>
      <c r="F61" s="27"/>
      <c r="G61" s="27"/>
      <c r="H61" s="11" t="s">
        <v>28</v>
      </c>
      <c r="I61" s="27">
        <v>6000</v>
      </c>
      <c r="J61" s="27"/>
    </row>
    <row r="62" spans="1:10" ht="15">
      <c r="A62" s="70" t="s">
        <v>228</v>
      </c>
      <c r="B62" s="17"/>
      <c r="C62" s="17">
        <v>853</v>
      </c>
      <c r="D62" s="30">
        <f t="shared" si="2"/>
        <v>0</v>
      </c>
      <c r="E62" s="27"/>
      <c r="F62" s="27"/>
      <c r="G62" s="27"/>
      <c r="H62" s="11" t="s">
        <v>28</v>
      </c>
      <c r="I62" s="27"/>
      <c r="J62" s="27"/>
    </row>
    <row r="63" spans="1:10" ht="15">
      <c r="A63" s="73" t="s">
        <v>132</v>
      </c>
      <c r="B63" s="71">
        <v>240</v>
      </c>
      <c r="C63" s="246" t="s">
        <v>716</v>
      </c>
      <c r="D63" s="30">
        <f t="shared" si="2"/>
        <v>0</v>
      </c>
      <c r="E63" s="27"/>
      <c r="F63" s="27"/>
      <c r="G63" s="27"/>
      <c r="H63" s="11" t="s">
        <v>28</v>
      </c>
      <c r="I63" s="27"/>
      <c r="J63" s="27"/>
    </row>
    <row r="64" spans="1:10" ht="15">
      <c r="A64" s="262" t="s">
        <v>133</v>
      </c>
      <c r="B64" s="17">
        <v>250</v>
      </c>
      <c r="C64" s="17">
        <v>113</v>
      </c>
      <c r="D64" s="30">
        <f t="shared" si="2"/>
        <v>0</v>
      </c>
      <c r="E64" s="27"/>
      <c r="F64" s="27"/>
      <c r="G64" s="27"/>
      <c r="H64" s="11" t="s">
        <v>28</v>
      </c>
      <c r="I64" s="27"/>
      <c r="J64" s="27"/>
    </row>
    <row r="65" spans="1:10" ht="15">
      <c r="A65" s="254" t="s">
        <v>134</v>
      </c>
      <c r="B65" s="17">
        <v>260</v>
      </c>
      <c r="C65" s="11" t="s">
        <v>28</v>
      </c>
      <c r="D65" s="30">
        <f t="shared" si="2"/>
        <v>663984</v>
      </c>
      <c r="E65" s="132">
        <f>E9+E74-E52-E55-E59-E64</f>
        <v>0</v>
      </c>
      <c r="F65" s="132">
        <f>F9+F74-F52-F59-F64</f>
        <v>150400</v>
      </c>
      <c r="G65" s="27"/>
      <c r="H65" s="11" t="s">
        <v>28</v>
      </c>
      <c r="I65" s="132">
        <f>I9+I74-I52-I55-I59-I64</f>
        <v>513584</v>
      </c>
      <c r="J65" s="27"/>
    </row>
    <row r="66" spans="1:10" ht="15">
      <c r="A66" s="75" t="s">
        <v>135</v>
      </c>
      <c r="B66" s="93">
        <v>300</v>
      </c>
      <c r="C66" s="16"/>
      <c r="D66" s="30">
        <f t="shared" si="2"/>
        <v>0</v>
      </c>
      <c r="E66" s="27"/>
      <c r="F66" s="27"/>
      <c r="G66" s="27"/>
      <c r="H66" s="11" t="s">
        <v>28</v>
      </c>
      <c r="I66" s="27"/>
      <c r="J66" s="27"/>
    </row>
    <row r="67" spans="1:10" ht="9" customHeight="1">
      <c r="A67" s="68" t="s">
        <v>21</v>
      </c>
      <c r="B67" s="94"/>
      <c r="C67" s="11"/>
      <c r="D67" s="30"/>
      <c r="E67" s="27"/>
      <c r="F67" s="27"/>
      <c r="G67" s="27"/>
      <c r="H67" s="27"/>
      <c r="I67" s="27"/>
      <c r="J67" s="27"/>
    </row>
    <row r="68" spans="1:10" ht="13.5" customHeight="1">
      <c r="A68" s="91" t="s">
        <v>136</v>
      </c>
      <c r="B68" s="94">
        <v>310</v>
      </c>
      <c r="C68" s="247" t="s">
        <v>717</v>
      </c>
      <c r="D68" s="30">
        <f>E68+F68+G68+I68</f>
        <v>0</v>
      </c>
      <c r="E68" s="27"/>
      <c r="F68" s="27"/>
      <c r="G68" s="27"/>
      <c r="H68" s="11" t="s">
        <v>28</v>
      </c>
      <c r="I68" s="27"/>
      <c r="J68" s="27"/>
    </row>
    <row r="69" spans="1:10" ht="13.5" customHeight="1">
      <c r="A69" s="92" t="s">
        <v>137</v>
      </c>
      <c r="B69" s="94">
        <v>320</v>
      </c>
      <c r="C69" s="247" t="s">
        <v>717</v>
      </c>
      <c r="D69" s="30">
        <f>E69+F69+G69+I69</f>
        <v>0</v>
      </c>
      <c r="E69" s="27"/>
      <c r="F69" s="27"/>
      <c r="G69" s="27"/>
      <c r="H69" s="11" t="s">
        <v>28</v>
      </c>
      <c r="I69" s="27"/>
      <c r="J69" s="27"/>
    </row>
    <row r="70" spans="1:10" ht="13.5" customHeight="1">
      <c r="A70" s="91" t="s">
        <v>138</v>
      </c>
      <c r="B70" s="94">
        <v>400</v>
      </c>
      <c r="C70" s="247" t="s">
        <v>717</v>
      </c>
      <c r="D70" s="30">
        <f>E70+F70+G70+I70</f>
        <v>0</v>
      </c>
      <c r="E70" s="27"/>
      <c r="F70" s="27"/>
      <c r="G70" s="27"/>
      <c r="H70" s="11" t="s">
        <v>28</v>
      </c>
      <c r="I70" s="27"/>
      <c r="J70" s="27"/>
    </row>
    <row r="71" spans="1:10" ht="9" customHeight="1">
      <c r="A71" s="68" t="s">
        <v>21</v>
      </c>
      <c r="B71" s="94"/>
      <c r="C71" s="247"/>
      <c r="D71" s="30"/>
      <c r="E71" s="27"/>
      <c r="F71" s="27"/>
      <c r="G71" s="27"/>
      <c r="H71" s="27"/>
      <c r="I71" s="27"/>
      <c r="J71" s="27"/>
    </row>
    <row r="72" spans="1:10" ht="13.5" customHeight="1">
      <c r="A72" s="91" t="s">
        <v>139</v>
      </c>
      <c r="B72" s="94">
        <v>410</v>
      </c>
      <c r="C72" s="247" t="s">
        <v>717</v>
      </c>
      <c r="D72" s="30">
        <f>E72+F72+G72+I72</f>
        <v>0</v>
      </c>
      <c r="E72" s="27"/>
      <c r="F72" s="27"/>
      <c r="G72" s="27"/>
      <c r="H72" s="11" t="s">
        <v>28</v>
      </c>
      <c r="I72" s="27"/>
      <c r="J72" s="27"/>
    </row>
    <row r="73" spans="1:10" ht="13.5" customHeight="1">
      <c r="A73" s="92" t="s">
        <v>140</v>
      </c>
      <c r="B73" s="94">
        <v>420</v>
      </c>
      <c r="C73" s="247" t="s">
        <v>717</v>
      </c>
      <c r="D73" s="30">
        <f>E73+F73+G73+I73</f>
        <v>0</v>
      </c>
      <c r="E73" s="27"/>
      <c r="F73" s="27"/>
      <c r="G73" s="27"/>
      <c r="H73" s="11" t="s">
        <v>28</v>
      </c>
      <c r="I73" s="27"/>
      <c r="J73" s="27"/>
    </row>
    <row r="74" spans="1:10" ht="15">
      <c r="A74" s="75" t="s">
        <v>141</v>
      </c>
      <c r="B74" s="71">
        <v>500</v>
      </c>
      <c r="C74" s="11" t="s">
        <v>28</v>
      </c>
      <c r="D74" s="30">
        <f>E74+F74+G74+I74</f>
        <v>0</v>
      </c>
      <c r="E74" s="27"/>
      <c r="F74" s="31"/>
      <c r="G74" s="27"/>
      <c r="H74" s="11" t="s">
        <v>28</v>
      </c>
      <c r="I74" s="31"/>
      <c r="J74" s="27"/>
    </row>
    <row r="75" spans="1:10" ht="15">
      <c r="A75" s="75" t="s">
        <v>29</v>
      </c>
      <c r="B75" s="71">
        <v>600</v>
      </c>
      <c r="C75" s="11" t="s">
        <v>28</v>
      </c>
      <c r="D75" s="30">
        <f>E75+F75+G75+I75</f>
        <v>0</v>
      </c>
      <c r="E75" s="27"/>
      <c r="F75" s="27"/>
      <c r="G75" s="27"/>
      <c r="H75" s="11" t="s">
        <v>28</v>
      </c>
      <c r="I75" s="27"/>
      <c r="J75" s="27"/>
    </row>
    <row r="76" spans="1:10" ht="15">
      <c r="A76" s="15" t="s">
        <v>30</v>
      </c>
      <c r="B76" s="16"/>
      <c r="C76" s="27"/>
      <c r="D76" s="27"/>
      <c r="E76" s="27"/>
      <c r="F76" s="27"/>
      <c r="G76" s="27"/>
      <c r="H76" s="27"/>
      <c r="I76" s="27"/>
      <c r="J76" s="27"/>
    </row>
    <row r="77" spans="1:10" ht="15">
      <c r="A77" s="12" t="s">
        <v>31</v>
      </c>
      <c r="B77" s="11"/>
      <c r="C77" s="30">
        <f>D77+E77+F77</f>
        <v>0</v>
      </c>
      <c r="D77" s="27"/>
      <c r="E77" s="27"/>
      <c r="F77" s="27"/>
      <c r="G77" s="27"/>
      <c r="H77" s="27"/>
      <c r="I77" s="27"/>
      <c r="J77" s="27"/>
    </row>
    <row r="78" spans="1:10" ht="12.75">
      <c r="A78" s="296" t="s">
        <v>143</v>
      </c>
      <c r="B78" s="296"/>
      <c r="C78" s="296"/>
      <c r="D78" s="296"/>
      <c r="E78" s="296"/>
      <c r="F78" s="296"/>
      <c r="G78" s="296"/>
      <c r="H78" s="296"/>
      <c r="I78" s="296"/>
      <c r="J78" s="296"/>
    </row>
    <row r="79" spans="1:9" s="129" customFormat="1" ht="37.5" customHeight="1">
      <c r="A79" s="131"/>
      <c r="B79" s="128"/>
      <c r="C79" s="128"/>
      <c r="D79" s="127">
        <f>D9+D74-D32</f>
        <v>0</v>
      </c>
      <c r="E79" s="127">
        <f>E9+E74-E32</f>
        <v>0</v>
      </c>
      <c r="F79" s="127">
        <f>F9+F74-F32</f>
        <v>0</v>
      </c>
      <c r="G79" s="128"/>
      <c r="I79" s="127">
        <f>I9+I74-I32</f>
        <v>0</v>
      </c>
    </row>
  </sheetData>
  <sheetProtection/>
  <mergeCells count="12">
    <mergeCell ref="E4:J4"/>
    <mergeCell ref="E5:E6"/>
    <mergeCell ref="F5:F6"/>
    <mergeCell ref="G5:G6"/>
    <mergeCell ref="H5:H6"/>
    <mergeCell ref="I5:J5"/>
    <mergeCell ref="A78:J78"/>
    <mergeCell ref="A3:A6"/>
    <mergeCell ref="B3:B6"/>
    <mergeCell ref="C3:C6"/>
    <mergeCell ref="D3:J3"/>
    <mergeCell ref="D4:D6"/>
  </mergeCells>
  <printOptions/>
  <pageMargins left="0.3937007874015748" right="0.1968503937007874" top="0.5905511811023623" bottom="0.5905511811023623" header="0.5118110236220472" footer="0.5118110236220472"/>
  <pageSetup fitToHeight="2" fitToWidth="1" horizontalDpi="600" verticalDpi="600" orientation="landscape" paperSize="9" scale="61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90" zoomScaleNormal="90" zoomScalePageLayoutView="0" workbookViewId="0" topLeftCell="A1">
      <selection activeCell="F13" sqref="F13"/>
    </sheetView>
  </sheetViews>
  <sheetFormatPr defaultColWidth="9.00390625" defaultRowHeight="12.75"/>
  <cols>
    <col min="1" max="1" width="26.875" style="0" customWidth="1"/>
    <col min="2" max="2" width="7.875" style="0" customWidth="1"/>
    <col min="3" max="3" width="15.625" style="0" customWidth="1"/>
    <col min="4" max="6" width="14.875" style="0" customWidth="1"/>
    <col min="7" max="9" width="15.25390625" style="0" customWidth="1"/>
    <col min="10" max="12" width="14.75390625" style="0" customWidth="1"/>
  </cols>
  <sheetData>
    <row r="1" spans="1:10" ht="37.5" customHeight="1">
      <c r="A1" s="79" t="s">
        <v>144</v>
      </c>
      <c r="B1" s="78"/>
      <c r="C1" s="78"/>
      <c r="D1" s="78"/>
      <c r="E1" s="78"/>
      <c r="F1" s="78"/>
      <c r="G1" s="78"/>
      <c r="J1" s="78"/>
    </row>
    <row r="2" spans="2:12" ht="37.5" customHeight="1">
      <c r="B2" s="64"/>
      <c r="C2" s="123" t="s">
        <v>728</v>
      </c>
      <c r="D2" s="64"/>
      <c r="E2" s="64"/>
      <c r="F2" s="64"/>
      <c r="G2" s="64"/>
      <c r="H2" s="10"/>
      <c r="I2" s="10"/>
      <c r="J2" s="64"/>
      <c r="K2" s="10"/>
      <c r="L2" s="10"/>
    </row>
    <row r="3" spans="1:12" s="80" customFormat="1" ht="15" customHeight="1">
      <c r="A3" s="294" t="s">
        <v>20</v>
      </c>
      <c r="B3" s="294" t="s">
        <v>111</v>
      </c>
      <c r="C3" s="297" t="s">
        <v>145</v>
      </c>
      <c r="D3" s="307" t="s">
        <v>154</v>
      </c>
      <c r="E3" s="308"/>
      <c r="F3" s="308"/>
      <c r="G3" s="308"/>
      <c r="H3" s="308"/>
      <c r="I3" s="308"/>
      <c r="J3" s="308"/>
      <c r="K3" s="308"/>
      <c r="L3" s="309"/>
    </row>
    <row r="4" spans="1:12" s="80" customFormat="1" ht="15" customHeight="1">
      <c r="A4" s="294"/>
      <c r="B4" s="294"/>
      <c r="C4" s="298"/>
      <c r="D4" s="294" t="s">
        <v>146</v>
      </c>
      <c r="E4" s="294"/>
      <c r="F4" s="294"/>
      <c r="G4" s="294" t="s">
        <v>26</v>
      </c>
      <c r="H4" s="294"/>
      <c r="I4" s="294"/>
      <c r="J4" s="294"/>
      <c r="K4" s="294"/>
      <c r="L4" s="294"/>
    </row>
    <row r="5" spans="1:12" s="80" customFormat="1" ht="83.25" customHeight="1">
      <c r="A5" s="294"/>
      <c r="B5" s="294"/>
      <c r="C5" s="298"/>
      <c r="D5" s="294"/>
      <c r="E5" s="294"/>
      <c r="F5" s="294"/>
      <c r="G5" s="294" t="s">
        <v>147</v>
      </c>
      <c r="H5" s="294"/>
      <c r="I5" s="294"/>
      <c r="J5" s="294" t="s">
        <v>148</v>
      </c>
      <c r="K5" s="294"/>
      <c r="L5" s="294"/>
    </row>
    <row r="6" spans="1:12" s="80" customFormat="1" ht="65.25" customHeight="1">
      <c r="A6" s="294"/>
      <c r="B6" s="294"/>
      <c r="C6" s="299"/>
      <c r="D6" s="11" t="s">
        <v>446</v>
      </c>
      <c r="E6" s="11" t="s">
        <v>447</v>
      </c>
      <c r="F6" s="11" t="s">
        <v>448</v>
      </c>
      <c r="G6" s="11" t="s">
        <v>446</v>
      </c>
      <c r="H6" s="11" t="s">
        <v>447</v>
      </c>
      <c r="I6" s="11" t="s">
        <v>448</v>
      </c>
      <c r="J6" s="11" t="s">
        <v>446</v>
      </c>
      <c r="K6" s="11" t="s">
        <v>447</v>
      </c>
      <c r="L6" s="11" t="s">
        <v>448</v>
      </c>
    </row>
    <row r="7" spans="1:12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ht="15">
      <c r="A8" s="12"/>
      <c r="B8" s="11"/>
      <c r="C8" s="11"/>
      <c r="D8" s="30"/>
      <c r="E8" s="27"/>
      <c r="F8" s="31"/>
      <c r="G8" s="27"/>
      <c r="H8" s="27"/>
      <c r="I8" s="27"/>
      <c r="J8" s="27"/>
      <c r="K8" s="27"/>
      <c r="L8" s="27"/>
    </row>
    <row r="9" spans="1:12" ht="42.75">
      <c r="A9" s="13" t="s">
        <v>149</v>
      </c>
      <c r="B9" s="81" t="s">
        <v>152</v>
      </c>
      <c r="C9" s="11" t="s">
        <v>28</v>
      </c>
      <c r="D9" s="29">
        <f aca="true" t="shared" si="0" ref="D9:I9">D11+D13</f>
        <v>3435005.1300000018</v>
      </c>
      <c r="E9" s="29">
        <f t="shared" si="0"/>
        <v>663984</v>
      </c>
      <c r="F9" s="29">
        <f t="shared" si="0"/>
        <v>663984</v>
      </c>
      <c r="G9" s="29">
        <f t="shared" si="0"/>
        <v>3435005.1300000018</v>
      </c>
      <c r="H9" s="29">
        <f t="shared" si="0"/>
        <v>663984</v>
      </c>
      <c r="I9" s="29">
        <f t="shared" si="0"/>
        <v>663984</v>
      </c>
      <c r="J9" s="27"/>
      <c r="K9" s="11"/>
      <c r="L9" s="27"/>
    </row>
    <row r="10" spans="1:12" ht="19.5" customHeight="1">
      <c r="A10" s="12" t="s">
        <v>26</v>
      </c>
      <c r="B10" s="11"/>
      <c r="C10" s="11"/>
      <c r="D10" s="30"/>
      <c r="E10" s="27"/>
      <c r="F10" s="27"/>
      <c r="G10" s="27"/>
      <c r="H10" s="11"/>
      <c r="I10" s="27"/>
      <c r="J10" s="27"/>
      <c r="K10" s="11"/>
      <c r="L10" s="27"/>
    </row>
    <row r="11" spans="1:12" ht="70.5" customHeight="1">
      <c r="A11" s="82" t="s">
        <v>150</v>
      </c>
      <c r="B11" s="67">
        <v>1001</v>
      </c>
      <c r="C11" s="11" t="s">
        <v>28</v>
      </c>
      <c r="D11" s="31">
        <f>G11+J11</f>
        <v>0</v>
      </c>
      <c r="E11" s="11"/>
      <c r="F11" s="11"/>
      <c r="G11" s="11"/>
      <c r="H11" s="11"/>
      <c r="I11" s="27"/>
      <c r="J11" s="11"/>
      <c r="K11" s="11"/>
      <c r="L11" s="27"/>
    </row>
    <row r="12" spans="1:12" ht="15">
      <c r="A12" s="41"/>
      <c r="B12" s="67"/>
      <c r="C12" s="11"/>
      <c r="D12" s="30"/>
      <c r="E12" s="46"/>
      <c r="F12" s="11"/>
      <c r="G12" s="11"/>
      <c r="H12" s="11"/>
      <c r="I12" s="30"/>
      <c r="J12" s="11"/>
      <c r="K12" s="11"/>
      <c r="L12" s="30"/>
    </row>
    <row r="13" spans="1:12" ht="58.5" customHeight="1">
      <c r="A13" s="83" t="s">
        <v>151</v>
      </c>
      <c r="B13" s="67">
        <v>2001</v>
      </c>
      <c r="C13" s="11">
        <v>2017</v>
      </c>
      <c r="D13" s="31">
        <f>G13+J13</f>
        <v>3435005.1300000018</v>
      </c>
      <c r="E13" s="31">
        <f>H13+K13</f>
        <v>663984</v>
      </c>
      <c r="F13" s="31">
        <f>I13+L13</f>
        <v>663984</v>
      </c>
      <c r="G13" s="27">
        <f>'2.2.2017'!D65</f>
        <v>3435005.1300000018</v>
      </c>
      <c r="H13" s="197">
        <f>'2.2.2018'!D65</f>
        <v>663984</v>
      </c>
      <c r="I13" s="197">
        <f>'2.2.2019'!D65</f>
        <v>663984</v>
      </c>
      <c r="J13" s="27"/>
      <c r="K13" s="11"/>
      <c r="L13" s="27"/>
    </row>
    <row r="14" spans="1:12" ht="15">
      <c r="A14" s="12"/>
      <c r="B14" s="67"/>
      <c r="C14" s="11"/>
      <c r="D14" s="30"/>
      <c r="E14" s="46"/>
      <c r="F14" s="11"/>
      <c r="G14" s="11"/>
      <c r="H14" s="11"/>
      <c r="I14" s="27"/>
      <c r="J14" s="11"/>
      <c r="K14" s="11"/>
      <c r="L14" s="27"/>
    </row>
    <row r="15" spans="1:9" ht="41.25" customHeight="1">
      <c r="A15" s="296" t="s">
        <v>153</v>
      </c>
      <c r="B15" s="296"/>
      <c r="C15" s="296"/>
      <c r="D15" s="296"/>
      <c r="E15" s="296"/>
      <c r="F15" s="296"/>
      <c r="G15" s="296"/>
      <c r="H15" s="296"/>
      <c r="I15" s="296"/>
    </row>
    <row r="16" spans="1:10" ht="37.5" customHeight="1">
      <c r="A16" s="79"/>
      <c r="B16" s="78"/>
      <c r="C16" s="78"/>
      <c r="D16" s="78"/>
      <c r="E16" s="78"/>
      <c r="F16" s="78"/>
      <c r="G16" s="78"/>
      <c r="J16" s="78"/>
    </row>
  </sheetData>
  <sheetProtection/>
  <mergeCells count="9">
    <mergeCell ref="A15:I15"/>
    <mergeCell ref="G5:I5"/>
    <mergeCell ref="J5:L5"/>
    <mergeCell ref="D4:F5"/>
    <mergeCell ref="G4:L4"/>
    <mergeCell ref="D3:L3"/>
    <mergeCell ref="A3:A6"/>
    <mergeCell ref="B3:B6"/>
    <mergeCell ref="C3:C6"/>
  </mergeCells>
  <printOptions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8" activeCellId="1" sqref="B6 B18"/>
    </sheetView>
  </sheetViews>
  <sheetFormatPr defaultColWidth="9.00390625" defaultRowHeight="12.75"/>
  <cols>
    <col min="1" max="1" width="53.75390625" style="0" customWidth="1"/>
    <col min="2" max="2" width="12.25390625" style="0" customWidth="1"/>
    <col min="3" max="3" width="19.625" style="0" customWidth="1"/>
    <col min="4" max="4" width="37.125" style="0" customWidth="1"/>
  </cols>
  <sheetData>
    <row r="2" spans="1:3" ht="42" customHeight="1">
      <c r="A2" s="311" t="s">
        <v>157</v>
      </c>
      <c r="B2" s="311"/>
      <c r="C2" s="311"/>
    </row>
    <row r="3" spans="1:3" ht="15.75">
      <c r="A3" s="312"/>
      <c r="B3" s="313"/>
      <c r="C3" s="313"/>
    </row>
    <row r="4" spans="1:3" ht="12.75">
      <c r="A4" s="314" t="s">
        <v>158</v>
      </c>
      <c r="B4" s="314"/>
      <c r="C4" s="314"/>
    </row>
    <row r="6" spans="1:3" ht="78.75">
      <c r="A6" s="100" t="s">
        <v>20</v>
      </c>
      <c r="B6" s="95" t="s">
        <v>111</v>
      </c>
      <c r="C6" s="95" t="s">
        <v>159</v>
      </c>
    </row>
    <row r="7" spans="1:3" ht="15.75">
      <c r="A7" s="102">
        <v>1</v>
      </c>
      <c r="B7" s="97">
        <v>2</v>
      </c>
      <c r="C7" s="97">
        <v>3</v>
      </c>
    </row>
    <row r="8" spans="1:3" ht="15.75">
      <c r="A8" s="101" t="s">
        <v>141</v>
      </c>
      <c r="B8" s="99" t="s">
        <v>163</v>
      </c>
      <c r="C8" s="97"/>
    </row>
    <row r="9" spans="1:3" ht="15.75">
      <c r="A9" s="101" t="s">
        <v>160</v>
      </c>
      <c r="B9" s="99" t="s">
        <v>164</v>
      </c>
      <c r="C9" s="97"/>
    </row>
    <row r="10" spans="1:3" ht="15.75">
      <c r="A10" s="101" t="s">
        <v>161</v>
      </c>
      <c r="B10" s="99" t="s">
        <v>165</v>
      </c>
      <c r="C10" s="97"/>
    </row>
    <row r="11" spans="1:3" ht="15.75">
      <c r="A11" s="101"/>
      <c r="B11" s="99"/>
      <c r="C11" s="97"/>
    </row>
    <row r="12" spans="1:3" ht="15.75">
      <c r="A12" s="101" t="s">
        <v>162</v>
      </c>
      <c r="B12" s="99" t="s">
        <v>166</v>
      </c>
      <c r="C12" s="97"/>
    </row>
    <row r="13" spans="1:3" ht="15.75">
      <c r="A13" s="101"/>
      <c r="B13" s="99"/>
      <c r="C13" s="97"/>
    </row>
    <row r="16" spans="1:3" ht="15.75">
      <c r="A16" s="311" t="s">
        <v>167</v>
      </c>
      <c r="B16" s="311"/>
      <c r="C16" s="311"/>
    </row>
    <row r="18" spans="1:3" ht="31.5">
      <c r="A18" s="95" t="s">
        <v>20</v>
      </c>
      <c r="B18" s="95" t="s">
        <v>111</v>
      </c>
      <c r="C18" s="95" t="s">
        <v>168</v>
      </c>
    </row>
    <row r="19" spans="1:3" ht="15.75">
      <c r="A19" s="96">
        <v>1</v>
      </c>
      <c r="B19" s="97">
        <v>2</v>
      </c>
      <c r="C19" s="97">
        <v>3</v>
      </c>
    </row>
    <row r="20" spans="1:3" ht="15.75">
      <c r="A20" s="98" t="s">
        <v>169</v>
      </c>
      <c r="B20" s="99" t="s">
        <v>163</v>
      </c>
      <c r="C20" s="97"/>
    </row>
    <row r="21" spans="1:3" ht="75.75" customHeight="1">
      <c r="A21" s="98" t="s">
        <v>170</v>
      </c>
      <c r="B21" s="99" t="s">
        <v>164</v>
      </c>
      <c r="C21" s="97"/>
    </row>
    <row r="22" spans="1:3" ht="40.5" customHeight="1">
      <c r="A22" s="98" t="s">
        <v>171</v>
      </c>
      <c r="B22" s="99" t="s">
        <v>165</v>
      </c>
      <c r="C22" s="97"/>
    </row>
    <row r="24" spans="1:3" ht="54" customHeight="1">
      <c r="A24" s="310" t="s">
        <v>172</v>
      </c>
      <c r="B24" s="310"/>
      <c r="C24" s="310"/>
    </row>
  </sheetData>
  <sheetProtection/>
  <mergeCells count="5">
    <mergeCell ref="A24:C24"/>
    <mergeCell ref="A2:C2"/>
    <mergeCell ref="A3:C3"/>
    <mergeCell ref="A4:C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xSplit="2" ySplit="4" topLeftCell="D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7" sqref="D37"/>
    </sheetView>
  </sheetViews>
  <sheetFormatPr defaultColWidth="9.00390625" defaultRowHeight="12.75"/>
  <cols>
    <col min="1" max="1" width="46.25390625" style="0" customWidth="1"/>
    <col min="3" max="3" width="10.00390625" style="0" hidden="1" customWidth="1"/>
    <col min="4" max="4" width="9.875" style="0" customWidth="1"/>
    <col min="5" max="5" width="10.00390625" style="0" bestFit="1" customWidth="1"/>
    <col min="6" max="6" width="10.875" style="0" customWidth="1"/>
    <col min="7" max="7" width="12.25390625" style="0" customWidth="1"/>
    <col min="8" max="8" width="13.375" style="0" customWidth="1"/>
  </cols>
  <sheetData>
    <row r="1" ht="15.75">
      <c r="A1" s="103" t="s">
        <v>173</v>
      </c>
    </row>
    <row r="2" ht="15.75">
      <c r="A2" s="123" t="s">
        <v>728</v>
      </c>
    </row>
    <row r="3" spans="1:8" ht="12.75">
      <c r="A3" s="315" t="s">
        <v>20</v>
      </c>
      <c r="B3" s="315" t="s">
        <v>174</v>
      </c>
      <c r="C3" s="104" t="s">
        <v>219</v>
      </c>
      <c r="D3" s="104" t="s">
        <v>197</v>
      </c>
      <c r="E3" s="104" t="s">
        <v>198</v>
      </c>
      <c r="F3" s="104" t="s">
        <v>199</v>
      </c>
      <c r="G3" s="104" t="s">
        <v>200</v>
      </c>
      <c r="H3" s="104" t="s">
        <v>451</v>
      </c>
    </row>
    <row r="4" spans="1:8" ht="38.25">
      <c r="A4" s="315"/>
      <c r="B4" s="315"/>
      <c r="C4" s="104" t="s">
        <v>175</v>
      </c>
      <c r="D4" s="104" t="s">
        <v>175</v>
      </c>
      <c r="E4" s="104" t="s">
        <v>176</v>
      </c>
      <c r="F4" s="104" t="s">
        <v>177</v>
      </c>
      <c r="G4" s="104" t="s">
        <v>32</v>
      </c>
      <c r="H4" s="104" t="s">
        <v>33</v>
      </c>
    </row>
    <row r="5" spans="1:8" ht="12.75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5">
        <v>7</v>
      </c>
      <c r="H5" s="105">
        <v>8</v>
      </c>
    </row>
    <row r="6" spans="1:8" ht="25.5">
      <c r="A6" s="106" t="s">
        <v>178</v>
      </c>
      <c r="B6" s="107" t="s">
        <v>28</v>
      </c>
      <c r="C6" s="107" t="s">
        <v>28</v>
      </c>
      <c r="D6" s="107" t="s">
        <v>28</v>
      </c>
      <c r="E6" s="107" t="s">
        <v>28</v>
      </c>
      <c r="F6" s="107" t="s">
        <v>28</v>
      </c>
      <c r="G6" s="108" t="s">
        <v>28</v>
      </c>
      <c r="H6" s="108" t="s">
        <v>28</v>
      </c>
    </row>
    <row r="7" spans="1:8" ht="15" customHeight="1">
      <c r="A7" s="109" t="s">
        <v>179</v>
      </c>
      <c r="B7" s="104" t="s">
        <v>180</v>
      </c>
      <c r="C7" s="104">
        <v>22417</v>
      </c>
      <c r="D7" s="104">
        <v>22116</v>
      </c>
      <c r="E7" s="135">
        <v>21161.983809999998</v>
      </c>
      <c r="F7" s="206">
        <f>'2.2.2017'!D54/1000</f>
        <v>21391.723</v>
      </c>
      <c r="G7" s="206">
        <f>'2.2.2018'!D54/1000</f>
        <v>16076.09663</v>
      </c>
      <c r="H7" s="206">
        <f>'2.2.2019'!D54/1000</f>
        <v>10389.81417</v>
      </c>
    </row>
    <row r="8" spans="1:8" ht="12.75">
      <c r="A8" s="110" t="s">
        <v>26</v>
      </c>
      <c r="B8" s="104"/>
      <c r="C8" s="104"/>
      <c r="D8" s="104"/>
      <c r="E8" s="104"/>
      <c r="F8" s="104"/>
      <c r="G8" s="104"/>
      <c r="H8" s="104"/>
    </row>
    <row r="9" spans="1:8" ht="25.5">
      <c r="A9" s="110" t="s">
        <v>181</v>
      </c>
      <c r="B9" s="104" t="s">
        <v>180</v>
      </c>
      <c r="C9" s="112">
        <f>2561*1.302</f>
        <v>3334.422</v>
      </c>
      <c r="D9" s="104">
        <f>629.6+189.4+1759.2+530.1</f>
        <v>3108.2999999999997</v>
      </c>
      <c r="E9" s="104">
        <v>2899</v>
      </c>
      <c r="F9" s="104">
        <v>2600</v>
      </c>
      <c r="G9" s="104">
        <v>2000</v>
      </c>
      <c r="H9" s="104">
        <v>1250</v>
      </c>
    </row>
    <row r="10" spans="1:8" ht="25.5">
      <c r="A10" s="110" t="s">
        <v>182</v>
      </c>
      <c r="B10" s="104" t="s">
        <v>180</v>
      </c>
      <c r="C10" s="104">
        <f aca="true" t="shared" si="0" ref="C10:H10">C7-C9</f>
        <v>19082.578</v>
      </c>
      <c r="D10" s="104">
        <f t="shared" si="0"/>
        <v>19007.7</v>
      </c>
      <c r="E10" s="112">
        <f t="shared" si="0"/>
        <v>18262.983809999998</v>
      </c>
      <c r="F10" s="112">
        <f t="shared" si="0"/>
        <v>18791.723</v>
      </c>
      <c r="G10" s="112">
        <f t="shared" si="0"/>
        <v>14076.09663</v>
      </c>
      <c r="H10" s="112">
        <f t="shared" si="0"/>
        <v>9139.81417</v>
      </c>
    </row>
    <row r="11" spans="1:8" ht="51">
      <c r="A11" s="109" t="s">
        <v>183</v>
      </c>
      <c r="B11" s="104" t="s">
        <v>180</v>
      </c>
      <c r="C11" s="112">
        <f aca="true" t="shared" si="1" ref="C11:H11">C13+C14+C15</f>
        <v>10873.8702</v>
      </c>
      <c r="D11" s="112">
        <f t="shared" si="1"/>
        <v>11195.034656</v>
      </c>
      <c r="E11" s="112">
        <f t="shared" si="1"/>
        <v>12150.97</v>
      </c>
      <c r="F11" s="122">
        <f t="shared" si="1"/>
        <v>11785.306302</v>
      </c>
      <c r="G11" s="112">
        <f t="shared" si="1"/>
        <v>11922.015855103202</v>
      </c>
      <c r="H11" s="112">
        <f t="shared" si="1"/>
        <v>11922.015855103202</v>
      </c>
    </row>
    <row r="12" spans="1:8" ht="12.75">
      <c r="A12" s="110" t="s">
        <v>184</v>
      </c>
      <c r="B12" s="104"/>
      <c r="C12" s="104"/>
      <c r="D12" s="104"/>
      <c r="E12" s="104"/>
      <c r="F12" s="104"/>
      <c r="G12" s="104"/>
      <c r="H12" s="104"/>
    </row>
    <row r="13" spans="1:8" ht="12.75">
      <c r="A13" s="110" t="s">
        <v>201</v>
      </c>
      <c r="B13" s="104" t="s">
        <v>180</v>
      </c>
      <c r="C13" s="122">
        <f>8403.3*1.294</f>
        <v>10873.8702</v>
      </c>
      <c r="D13" s="122">
        <f>8653.1*1.29376</f>
        <v>11195.034656</v>
      </c>
      <c r="E13" s="104">
        <f>9346.9*1.3</f>
        <v>12150.97</v>
      </c>
      <c r="F13" s="112">
        <v>11785.306302</v>
      </c>
      <c r="G13" s="112">
        <f>F13*1.0116</f>
        <v>11922.015855103202</v>
      </c>
      <c r="H13" s="112">
        <f>G13</f>
        <v>11922.015855103202</v>
      </c>
    </row>
    <row r="14" spans="1:8" ht="12.75" hidden="1">
      <c r="A14" s="110"/>
      <c r="B14" s="104" t="s">
        <v>180</v>
      </c>
      <c r="C14" s="112"/>
      <c r="D14" s="112"/>
      <c r="E14" s="112"/>
      <c r="F14" s="104"/>
      <c r="G14" s="104"/>
      <c r="H14" s="104"/>
    </row>
    <row r="15" spans="1:8" ht="12.75" hidden="1">
      <c r="A15" s="110"/>
      <c r="B15" s="104"/>
      <c r="C15" s="104"/>
      <c r="D15" s="104"/>
      <c r="E15" s="104"/>
      <c r="F15" s="104"/>
      <c r="G15" s="104"/>
      <c r="H15" s="104"/>
    </row>
    <row r="16" spans="1:8" ht="25.5">
      <c r="A16" s="109" t="s">
        <v>185</v>
      </c>
      <c r="B16" s="104" t="s">
        <v>186</v>
      </c>
      <c r="C16" s="104">
        <v>51.5</v>
      </c>
      <c r="D16" s="104">
        <v>50.5</v>
      </c>
      <c r="E16" s="104">
        <f>41.9+5</f>
        <v>46.9</v>
      </c>
      <c r="F16" s="104">
        <v>45.2</v>
      </c>
      <c r="G16" s="104">
        <v>45.2</v>
      </c>
      <c r="H16" s="104">
        <v>45.2</v>
      </c>
    </row>
    <row r="17" spans="1:8" ht="12.75">
      <c r="A17" s="110" t="s">
        <v>26</v>
      </c>
      <c r="B17" s="104"/>
      <c r="C17" s="104"/>
      <c r="D17" s="104"/>
      <c r="E17" s="104"/>
      <c r="F17" s="104"/>
      <c r="G17" s="104"/>
      <c r="H17" s="104"/>
    </row>
    <row r="18" spans="1:8" ht="38.25">
      <c r="A18" s="110" t="s">
        <v>187</v>
      </c>
      <c r="B18" s="104" t="s">
        <v>186</v>
      </c>
      <c r="C18" s="104">
        <v>4</v>
      </c>
      <c r="D18" s="104">
        <v>4</v>
      </c>
      <c r="E18" s="104">
        <v>4</v>
      </c>
      <c r="F18" s="104">
        <v>3</v>
      </c>
      <c r="G18" s="104">
        <v>3</v>
      </c>
      <c r="H18" s="104">
        <v>3</v>
      </c>
    </row>
    <row r="19" spans="1:8" ht="25.5">
      <c r="A19" s="110" t="s">
        <v>188</v>
      </c>
      <c r="B19" s="104" t="s">
        <v>186</v>
      </c>
      <c r="C19" s="104">
        <f aca="true" t="shared" si="2" ref="C19:H19">C16-C18</f>
        <v>47.5</v>
      </c>
      <c r="D19" s="104">
        <f t="shared" si="2"/>
        <v>46.5</v>
      </c>
      <c r="E19" s="104">
        <f t="shared" si="2"/>
        <v>42.9</v>
      </c>
      <c r="F19" s="104">
        <f t="shared" si="2"/>
        <v>42.2</v>
      </c>
      <c r="G19" s="104">
        <f t="shared" si="2"/>
        <v>42.2</v>
      </c>
      <c r="H19" s="104">
        <f t="shared" si="2"/>
        <v>42.2</v>
      </c>
    </row>
    <row r="20" spans="1:8" ht="51">
      <c r="A20" s="109" t="s">
        <v>236</v>
      </c>
      <c r="B20" s="104" t="s">
        <v>186</v>
      </c>
      <c r="C20" s="104">
        <f aca="true" t="shared" si="3" ref="C20:H20">SUM(C22:C24)</f>
        <v>19.8</v>
      </c>
      <c r="D20" s="104">
        <f t="shared" si="3"/>
        <v>21.4</v>
      </c>
      <c r="E20" s="104">
        <f t="shared" si="3"/>
        <v>20.8</v>
      </c>
      <c r="F20" s="104">
        <f t="shared" si="3"/>
        <v>19.5</v>
      </c>
      <c r="G20" s="104">
        <f t="shared" si="3"/>
        <v>19.5</v>
      </c>
      <c r="H20" s="104">
        <f t="shared" si="3"/>
        <v>19.5</v>
      </c>
    </row>
    <row r="21" spans="1:8" ht="12.75">
      <c r="A21" s="110" t="s">
        <v>184</v>
      </c>
      <c r="B21" s="104"/>
      <c r="C21" s="104"/>
      <c r="D21" s="104"/>
      <c r="E21" s="104"/>
      <c r="F21" s="104"/>
      <c r="G21" s="104"/>
      <c r="H21" s="104"/>
    </row>
    <row r="22" spans="1:8" ht="12.75">
      <c r="A22" s="110" t="s">
        <v>201</v>
      </c>
      <c r="B22" s="104"/>
      <c r="C22" s="104">
        <v>19.8</v>
      </c>
      <c r="D22" s="104">
        <v>21.4</v>
      </c>
      <c r="E22" s="104">
        <v>20.8</v>
      </c>
      <c r="F22" s="104">
        <v>19.5</v>
      </c>
      <c r="G22" s="104">
        <v>19.5</v>
      </c>
      <c r="H22" s="104">
        <v>19.5</v>
      </c>
    </row>
    <row r="23" spans="1:8" ht="12.75" hidden="1">
      <c r="A23" s="110"/>
      <c r="B23" s="104"/>
      <c r="C23" s="104"/>
      <c r="D23" s="104"/>
      <c r="E23" s="104"/>
      <c r="F23" s="104"/>
      <c r="G23" s="104"/>
      <c r="H23" s="104"/>
    </row>
    <row r="24" spans="1:8" ht="12.75" hidden="1">
      <c r="A24" s="110"/>
      <c r="B24" s="104"/>
      <c r="C24" s="104"/>
      <c r="D24" s="104"/>
      <c r="E24" s="104"/>
      <c r="F24" s="104"/>
      <c r="G24" s="104"/>
      <c r="H24" s="104"/>
    </row>
    <row r="25" spans="1:8" ht="51">
      <c r="A25" s="109" t="s">
        <v>237</v>
      </c>
      <c r="B25" s="104" t="s">
        <v>189</v>
      </c>
      <c r="C25" s="104">
        <v>36881.6</v>
      </c>
      <c r="D25" s="104">
        <v>38288.9</v>
      </c>
      <c r="E25" s="104">
        <f>46132.6*0.9</f>
        <v>41519.34</v>
      </c>
      <c r="F25" s="104">
        <v>44472.26</v>
      </c>
      <c r="G25" s="104">
        <v>48100</v>
      </c>
      <c r="H25" s="104">
        <v>48100</v>
      </c>
    </row>
    <row r="26" spans="1:8" ht="25.5">
      <c r="A26" s="109" t="s">
        <v>238</v>
      </c>
      <c r="B26" s="104" t="s">
        <v>189</v>
      </c>
      <c r="C26" s="104" t="s">
        <v>28</v>
      </c>
      <c r="D26" s="104" t="s">
        <v>28</v>
      </c>
      <c r="E26" s="104" t="s">
        <v>28</v>
      </c>
      <c r="F26" s="104" t="s">
        <v>28</v>
      </c>
      <c r="G26" s="104" t="s">
        <v>28</v>
      </c>
      <c r="H26" s="104" t="s">
        <v>28</v>
      </c>
    </row>
    <row r="27" spans="1:8" ht="38.25">
      <c r="A27" s="110" t="s">
        <v>190</v>
      </c>
      <c r="B27" s="104"/>
      <c r="C27" s="104"/>
      <c r="D27" s="104"/>
      <c r="E27" s="104"/>
      <c r="F27" s="104"/>
      <c r="G27" s="104"/>
      <c r="H27" s="104"/>
    </row>
    <row r="28" spans="1:8" ht="15" customHeight="1">
      <c r="A28" s="110" t="s">
        <v>201</v>
      </c>
      <c r="B28" s="104" t="s">
        <v>189</v>
      </c>
      <c r="C28" s="112">
        <v>35308</v>
      </c>
      <c r="D28" s="112">
        <v>33695.9</v>
      </c>
      <c r="E28" s="104">
        <v>37447.5</v>
      </c>
      <c r="F28" s="112">
        <v>38739.14957264957</v>
      </c>
      <c r="G28" s="122">
        <f>G13/1.302*1000/G22/12</f>
        <v>39131.17181687345</v>
      </c>
      <c r="H28" s="122">
        <f>H13/1.302*1000/H22/12</f>
        <v>39131.17181687345</v>
      </c>
    </row>
    <row r="29" spans="1:8" ht="12.75" hidden="1">
      <c r="A29" s="110"/>
      <c r="B29" s="104" t="s">
        <v>189</v>
      </c>
      <c r="C29" s="104"/>
      <c r="D29" s="104"/>
      <c r="E29" s="104"/>
      <c r="F29" s="104"/>
      <c r="G29" s="104"/>
      <c r="H29" s="104"/>
    </row>
    <row r="30" spans="1:8" ht="12.75" hidden="1">
      <c r="A30" s="110"/>
      <c r="B30" s="104" t="s">
        <v>189</v>
      </c>
      <c r="C30" s="104"/>
      <c r="D30" s="104"/>
      <c r="E30" s="104"/>
      <c r="F30" s="104"/>
      <c r="G30" s="104"/>
      <c r="H30" s="104"/>
    </row>
    <row r="31" spans="1:8" ht="51">
      <c r="A31" s="109" t="s">
        <v>239</v>
      </c>
      <c r="B31" s="104" t="s">
        <v>191</v>
      </c>
      <c r="C31" s="104">
        <v>210.8</v>
      </c>
      <c r="D31" s="104">
        <v>191.6</v>
      </c>
      <c r="E31" s="122">
        <f>45597.9/30069.41*100</f>
        <v>151.64215061086998</v>
      </c>
      <c r="F31" s="112">
        <f>(F9/1.302/F18/12*1000)/(F10/1.302/F19/12*1000)*100</f>
        <v>194.6246937193217</v>
      </c>
      <c r="G31" s="112">
        <f>(G9/1.302/G18/12*1000)/(G10/1.302/G19/12*1000)*100</f>
        <v>199.8660145126706</v>
      </c>
      <c r="H31" s="112">
        <f>(H9/1.302/H18/12*1000)/(H10/1.302/H19/12*1000)*100</f>
        <v>192.38173781528135</v>
      </c>
    </row>
    <row r="32" spans="1:8" ht="51">
      <c r="A32" s="109" t="s">
        <v>240</v>
      </c>
      <c r="B32" s="104" t="s">
        <v>191</v>
      </c>
      <c r="C32" s="104" t="s">
        <v>28</v>
      </c>
      <c r="D32" s="104" t="s">
        <v>28</v>
      </c>
      <c r="E32" s="104" t="s">
        <v>28</v>
      </c>
      <c r="F32" s="104" t="s">
        <v>28</v>
      </c>
      <c r="G32" s="104" t="s">
        <v>28</v>
      </c>
      <c r="H32" s="104" t="s">
        <v>28</v>
      </c>
    </row>
    <row r="33" spans="1:8" ht="38.25">
      <c r="A33" s="110" t="s">
        <v>190</v>
      </c>
      <c r="B33" s="104"/>
      <c r="C33" s="104"/>
      <c r="D33" s="104"/>
      <c r="E33" s="104"/>
      <c r="F33" s="104"/>
      <c r="G33" s="104"/>
      <c r="H33" s="104"/>
    </row>
    <row r="34" spans="1:8" ht="12.75">
      <c r="A34" s="110" t="s">
        <v>201</v>
      </c>
      <c r="B34" s="104" t="s">
        <v>191</v>
      </c>
      <c r="C34" s="112">
        <f>C28/36881.6*100</f>
        <v>95.73337382326147</v>
      </c>
      <c r="D34" s="112">
        <f>D28/37987.3*0.83*100</f>
        <v>73.62354523748725</v>
      </c>
      <c r="E34" s="112">
        <f>E28/41519.34*100</f>
        <v>90.1929076907292</v>
      </c>
      <c r="F34" s="112">
        <f>F28/44472.26*100</f>
        <v>87.10856964015224</v>
      </c>
      <c r="G34" s="112">
        <f>G28/48100*100</f>
        <v>81.35378756106746</v>
      </c>
      <c r="H34" s="112">
        <f>H28/48100*100</f>
        <v>81.35378756106746</v>
      </c>
    </row>
    <row r="35" spans="1:8" ht="12.75" hidden="1">
      <c r="A35" s="110"/>
      <c r="B35" s="104"/>
      <c r="C35" s="112"/>
      <c r="D35" s="112"/>
      <c r="E35" s="112"/>
      <c r="F35" s="104"/>
      <c r="G35" s="104"/>
      <c r="H35" s="104"/>
    </row>
    <row r="36" spans="1:8" ht="12.75" hidden="1">
      <c r="A36" s="110"/>
      <c r="B36" s="104"/>
      <c r="C36" s="104"/>
      <c r="D36" s="112"/>
      <c r="E36" s="112"/>
      <c r="F36" s="104"/>
      <c r="G36" s="104"/>
      <c r="H36" s="104"/>
    </row>
    <row r="37" spans="1:8" ht="25.5">
      <c r="A37" s="106" t="s">
        <v>192</v>
      </c>
      <c r="B37" s="107" t="s">
        <v>28</v>
      </c>
      <c r="C37" s="107" t="s">
        <v>28</v>
      </c>
      <c r="D37" s="107" t="s">
        <v>28</v>
      </c>
      <c r="E37" s="107" t="s">
        <v>28</v>
      </c>
      <c r="F37" s="107" t="s">
        <v>28</v>
      </c>
      <c r="G37" s="108" t="s">
        <v>28</v>
      </c>
      <c r="H37" s="108" t="s">
        <v>28</v>
      </c>
    </row>
    <row r="38" spans="1:8" ht="24">
      <c r="A38" s="233" t="s">
        <v>193</v>
      </c>
      <c r="B38" s="104" t="s">
        <v>194</v>
      </c>
      <c r="C38" s="42">
        <v>2118.6</v>
      </c>
      <c r="D38" s="42">
        <v>2118.6</v>
      </c>
      <c r="E38" s="42">
        <v>2118.6</v>
      </c>
      <c r="F38" s="104">
        <v>2223.5</v>
      </c>
      <c r="G38" s="104">
        <v>2223.5</v>
      </c>
      <c r="H38" s="104">
        <v>2223.5</v>
      </c>
    </row>
    <row r="39" spans="1:8" ht="48">
      <c r="A39" s="233" t="s">
        <v>241</v>
      </c>
      <c r="B39" s="104" t="s">
        <v>195</v>
      </c>
      <c r="C39" s="104">
        <v>0.67</v>
      </c>
      <c r="D39" s="104">
        <v>0.67</v>
      </c>
      <c r="E39" s="104">
        <v>0.67</v>
      </c>
      <c r="F39" s="104">
        <v>0.68</v>
      </c>
      <c r="G39" s="104"/>
      <c r="H39" s="104"/>
    </row>
    <row r="40" spans="1:8" ht="48">
      <c r="A40" s="233" t="s">
        <v>242</v>
      </c>
      <c r="B40" s="104" t="s">
        <v>195</v>
      </c>
      <c r="C40" s="104">
        <v>0</v>
      </c>
      <c r="D40" s="104">
        <v>0</v>
      </c>
      <c r="E40" s="104">
        <v>0</v>
      </c>
      <c r="F40" s="104">
        <v>0.03</v>
      </c>
      <c r="G40" s="104"/>
      <c r="H40" s="104"/>
    </row>
    <row r="41" spans="1:8" ht="60">
      <c r="A41" s="233" t="s">
        <v>243</v>
      </c>
      <c r="B41" s="104" t="s">
        <v>195</v>
      </c>
      <c r="C41" s="104"/>
      <c r="D41" s="104"/>
      <c r="E41" s="104">
        <v>0</v>
      </c>
      <c r="F41" s="263">
        <f>579000/'2.1.Показатели финансовые'!C9</f>
        <v>0.03591104612825726</v>
      </c>
      <c r="G41" s="104"/>
      <c r="H41" s="104"/>
    </row>
    <row r="42" spans="1:8" ht="12.75">
      <c r="A42" s="234" t="s">
        <v>26</v>
      </c>
      <c r="B42" s="104"/>
      <c r="C42" s="104"/>
      <c r="D42" s="104"/>
      <c r="E42" s="104"/>
      <c r="F42" s="104"/>
      <c r="G42" s="104"/>
      <c r="H42" s="104"/>
    </row>
    <row r="43" spans="1:8" ht="12.75" hidden="1">
      <c r="A43" s="233"/>
      <c r="B43" s="104" t="s">
        <v>195</v>
      </c>
      <c r="C43" s="104"/>
      <c r="D43" s="104"/>
      <c r="E43" s="104"/>
      <c r="F43" s="104"/>
      <c r="G43" s="104"/>
      <c r="H43" s="104"/>
    </row>
    <row r="44" spans="1:8" ht="24">
      <c r="A44" s="235" t="s">
        <v>196</v>
      </c>
      <c r="B44" s="107"/>
      <c r="C44" s="107"/>
      <c r="D44" s="107"/>
      <c r="E44" s="107"/>
      <c r="F44" s="107"/>
      <c r="G44" s="108"/>
      <c r="H44" s="108"/>
    </row>
    <row r="45" spans="1:8" ht="60">
      <c r="A45" s="233" t="s">
        <v>202</v>
      </c>
      <c r="B45" s="111"/>
      <c r="C45" s="104"/>
      <c r="D45" s="104"/>
      <c r="E45" s="104"/>
      <c r="F45" s="104"/>
      <c r="G45" s="104"/>
      <c r="H45" s="104"/>
    </row>
    <row r="46" spans="1:8" ht="24">
      <c r="A46" s="233" t="s">
        <v>244</v>
      </c>
      <c r="B46" s="104" t="s">
        <v>191</v>
      </c>
      <c r="C46" s="104"/>
      <c r="D46" s="104"/>
      <c r="E46" s="104"/>
      <c r="F46" s="104"/>
      <c r="G46" s="104"/>
      <c r="H46" s="104"/>
    </row>
  </sheetData>
  <sheetProtection/>
  <mergeCells count="2">
    <mergeCell ref="A3:A4"/>
    <mergeCell ref="B3:B4"/>
  </mergeCells>
  <printOptions/>
  <pageMargins left="0.9055118110236221" right="0.7086614173228347" top="0.15748031496062992" bottom="0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МУО ЦБ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Kosmina</cp:lastModifiedBy>
  <cp:lastPrinted>2017-10-12T10:52:43Z</cp:lastPrinted>
  <dcterms:created xsi:type="dcterms:W3CDTF">2013-03-05T07:03:41Z</dcterms:created>
  <dcterms:modified xsi:type="dcterms:W3CDTF">2017-10-12T10:54:11Z</dcterms:modified>
  <cp:category/>
  <cp:version/>
  <cp:contentType/>
  <cp:contentStatus/>
</cp:coreProperties>
</file>